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ni.au.dk\Users\au230723\Desktop\"/>
    </mc:Choice>
  </mc:AlternateContent>
  <workbookProtection workbookAlgorithmName="SHA-512" workbookHashValue="ngYrnIluQvK9QtxpqHjZ6icQVQALHf+HmhSG/edFCV5ALHuHzEE83/UJ8z2vLDgAsn1LfNTOLa9apvIGkBt3ig==" workbookSaltValue="SHtRlJV3Vet1t2Az0tWy8w==" workbookSpinCount="100000" lockStructure="1"/>
  <bookViews>
    <workbookView xWindow="0" yWindow="0" windowWidth="25200" windowHeight="11925" tabRatio="793"/>
  </bookViews>
  <sheets>
    <sheet name="Introduktion" sheetId="6" r:id="rId1"/>
    <sheet name="Elevark" sheetId="7" r:id="rId2"/>
    <sheet name="Graf" sheetId="9" r:id="rId3"/>
    <sheet name="MS2016L" sheetId="11" r:id="rId4"/>
    <sheet name="MS2016I" sheetId="12" r:id="rId5"/>
    <sheet name="MS3_2016L" sheetId="13" r:id="rId6"/>
    <sheet name="MS3_2016I" sheetId="14" r:id="rId7"/>
    <sheet name="MS2011L" sheetId="1" r:id="rId8"/>
    <sheet name="MS2011I" sheetId="5" r:id="rId9"/>
    <sheet name="MS2006L" sheetId="2" r:id="rId10"/>
    <sheet name="MS2006I" sheetId="4" r:id="rId11"/>
    <sheet name="FT06" sheetId="3" r:id="rId12"/>
    <sheet name="Liste" sheetId="8" state="hidden" r:id="rId13"/>
    <sheet name="Ark1" sheetId="10" r:id="rId14"/>
  </sheets>
  <definedNames>
    <definedName name="_xlnm.Print_Area" localSheetId="1">Elevark!$A$1:$U$40</definedName>
    <definedName name="_xlnm.Print_Area" localSheetId="2">Graf!$A$1:$U$42</definedName>
    <definedName name="_xlnm.Print_Area" localSheetId="0">Introduktion!$B$1:$B$30</definedName>
    <definedName name="Vælg_tekst_her">Elevark!$C$5</definedName>
  </definedNames>
  <calcPr calcId="152511"/>
</workbook>
</file>

<file path=xl/calcChain.xml><?xml version="1.0" encoding="utf-8"?>
<calcChain xmlns="http://schemas.openxmlformats.org/spreadsheetml/2006/main">
  <c r="M46" i="8" l="1"/>
  <c r="Q45" i="8"/>
  <c r="Y11" i="8"/>
  <c r="Y19" i="8"/>
  <c r="Y18" i="8"/>
  <c r="Y17" i="8"/>
  <c r="AA59" i="8" s="1"/>
  <c r="Y16" i="8"/>
  <c r="Y15" i="8"/>
  <c r="Y14" i="8"/>
  <c r="Y13" i="8"/>
  <c r="Y12" i="8"/>
  <c r="Y10" i="8"/>
  <c r="Y9" i="8"/>
  <c r="Y8" i="8"/>
  <c r="Y7" i="8"/>
  <c r="Y6" i="8"/>
  <c r="Y5" i="8"/>
  <c r="Y4" i="8"/>
  <c r="Y3" i="8"/>
  <c r="Y2" i="8"/>
  <c r="C18" i="3"/>
  <c r="O60" i="8"/>
  <c r="L60" i="8"/>
  <c r="J60" i="8"/>
  <c r="R58" i="8"/>
  <c r="P58" i="8"/>
  <c r="H58" i="8"/>
  <c r="O61" i="8"/>
  <c r="M61" i="8"/>
  <c r="J61" i="8"/>
  <c r="D61" i="8"/>
  <c r="O59" i="8"/>
  <c r="L59" i="8"/>
  <c r="D56" i="8"/>
  <c r="N57" i="8"/>
  <c r="J57" i="8"/>
  <c r="F57" i="8"/>
  <c r="E57" i="8"/>
  <c r="F81" i="8"/>
  <c r="N44" i="8"/>
  <c r="J44" i="8"/>
  <c r="I2" i="8"/>
  <c r="I44" i="8"/>
  <c r="Y56" i="8" l="1"/>
  <c r="O56" i="8"/>
  <c r="M56" i="8"/>
  <c r="J56" i="8"/>
  <c r="Y55" i="8"/>
  <c r="P55" i="8"/>
  <c r="I55" i="8"/>
  <c r="O54" i="8"/>
  <c r="L54" i="8"/>
  <c r="J54" i="8"/>
  <c r="K53" i="8"/>
  <c r="I20" i="12"/>
  <c r="I17" i="12"/>
  <c r="H17" i="12"/>
  <c r="I18" i="12"/>
  <c r="H18" i="12"/>
  <c r="H20" i="12"/>
  <c r="C17" i="8"/>
  <c r="C24" i="8"/>
  <c r="C3" i="8" s="1"/>
  <c r="C25" i="8"/>
  <c r="C4" i="8" s="1"/>
  <c r="C26" i="8"/>
  <c r="C5" i="8" s="1"/>
  <c r="C27" i="8"/>
  <c r="C6" i="8" s="1"/>
  <c r="C28" i="8"/>
  <c r="C7" i="8" s="1"/>
  <c r="C29" i="8"/>
  <c r="C8" i="8" s="1"/>
  <c r="C30" i="8"/>
  <c r="C9" i="8" s="1"/>
  <c r="C31" i="8"/>
  <c r="C10" i="8" s="1"/>
  <c r="C32" i="8"/>
  <c r="C11" i="8" s="1"/>
  <c r="C33" i="8"/>
  <c r="C12" i="8" s="1"/>
  <c r="AA54" i="8" s="1"/>
  <c r="C34" i="8"/>
  <c r="C13" i="8" s="1"/>
  <c r="AA55" i="8" s="1"/>
  <c r="C35" i="8"/>
  <c r="C14" i="8" s="1"/>
  <c r="C36" i="8"/>
  <c r="C15" i="8" s="1"/>
  <c r="C37" i="8"/>
  <c r="C16" i="8" s="1"/>
  <c r="C38" i="8"/>
  <c r="C39" i="8"/>
  <c r="C18" i="8" s="1"/>
  <c r="C40" i="8"/>
  <c r="C19" i="8" s="1"/>
  <c r="C23" i="8"/>
  <c r="C2" i="8" s="1"/>
  <c r="U38" i="8"/>
  <c r="M19" i="13"/>
  <c r="N19" i="13"/>
  <c r="C21" i="13"/>
  <c r="C24" i="12"/>
  <c r="M20" i="14"/>
  <c r="U33" i="8"/>
  <c r="U23" i="8"/>
  <c r="U24" i="8"/>
  <c r="U25" i="8"/>
  <c r="U26" i="8"/>
  <c r="U27" i="8"/>
  <c r="U28" i="8"/>
  <c r="U29" i="8"/>
  <c r="U30" i="8"/>
  <c r="U31" i="8"/>
  <c r="U32" i="8"/>
  <c r="U34" i="8"/>
  <c r="U35" i="8"/>
  <c r="U36" i="8"/>
  <c r="U37" i="8"/>
  <c r="U39" i="8"/>
  <c r="U40" i="8"/>
  <c r="Y54" i="8" l="1"/>
  <c r="D16" i="12"/>
  <c r="C16" i="12"/>
  <c r="D17" i="12"/>
  <c r="C17" i="12"/>
  <c r="AA60" i="8" l="1"/>
  <c r="K5" i="7"/>
  <c r="T9" i="7"/>
  <c r="N22" i="11"/>
  <c r="AA61" i="8"/>
  <c r="Y77" i="8"/>
  <c r="Y76" i="8"/>
  <c r="AA58" i="8"/>
  <c r="AA57" i="8"/>
  <c r="AA56" i="8"/>
  <c r="Y71" i="8"/>
  <c r="Y67" i="8"/>
  <c r="AA50" i="8"/>
  <c r="AA47" i="8"/>
  <c r="Y57" i="8"/>
  <c r="D24" i="12"/>
  <c r="Y73" i="8"/>
  <c r="AA73" i="8" l="1"/>
  <c r="Y69" i="8" l="1"/>
  <c r="AA69" i="8" s="1"/>
  <c r="D22" i="11"/>
  <c r="N20" i="14" l="1"/>
  <c r="I19" i="11"/>
  <c r="S7" i="7" l="1"/>
  <c r="R7" i="7"/>
  <c r="Q7" i="7"/>
  <c r="P7" i="7"/>
  <c r="O7" i="7"/>
  <c r="N7" i="7"/>
  <c r="M7" i="7"/>
  <c r="L7" i="7"/>
  <c r="K7" i="7"/>
  <c r="J7" i="7"/>
  <c r="I7" i="7"/>
  <c r="H7" i="7"/>
  <c r="G7" i="7"/>
  <c r="F7" i="7"/>
  <c r="E7" i="7"/>
  <c r="D7" i="7"/>
  <c r="C7" i="7"/>
  <c r="N81" i="8"/>
  <c r="R80" i="8"/>
  <c r="Y80" i="8" s="1"/>
  <c r="AA80" i="8" s="1"/>
  <c r="I20" i="13"/>
  <c r="D21" i="13"/>
  <c r="D19" i="14"/>
  <c r="Y60" i="8" l="1"/>
  <c r="Y59" i="8"/>
  <c r="Y61" i="8"/>
  <c r="Y81" i="8"/>
  <c r="AA81" i="8" s="1"/>
  <c r="Y58" i="8"/>
  <c r="U38" i="7"/>
  <c r="H22" i="14"/>
  <c r="C19" i="14"/>
  <c r="H20" i="13"/>
  <c r="M22" i="11"/>
  <c r="H19" i="11"/>
  <c r="C22" i="11" l="1"/>
  <c r="R39" i="7" l="1"/>
  <c r="C5" i="9" l="1"/>
  <c r="Q10" i="9" s="1"/>
  <c r="L53" i="8"/>
  <c r="M53" i="8"/>
  <c r="N53" i="8"/>
  <c r="Q53" i="8"/>
  <c r="G52" i="8"/>
  <c r="H52" i="8"/>
  <c r="I52" i="8"/>
  <c r="J52" i="8"/>
  <c r="K52" i="8"/>
  <c r="L52" i="8"/>
  <c r="M52" i="8"/>
  <c r="I51" i="8"/>
  <c r="K51" i="8"/>
  <c r="M51" i="8"/>
  <c r="N51" i="8"/>
  <c r="H50" i="8"/>
  <c r="I50" i="8"/>
  <c r="J50" i="8"/>
  <c r="K50" i="8"/>
  <c r="L50" i="8"/>
  <c r="M50" i="8"/>
  <c r="N50" i="8"/>
  <c r="O50" i="8"/>
  <c r="P50" i="8"/>
  <c r="Q50" i="8"/>
  <c r="R50" i="8"/>
  <c r="S50" i="8"/>
  <c r="M49" i="8"/>
  <c r="N49" i="8"/>
  <c r="O49" i="8"/>
  <c r="P49" i="8"/>
  <c r="Q49" i="8"/>
  <c r="L49" i="8"/>
  <c r="E49" i="8"/>
  <c r="F49" i="8"/>
  <c r="G49" i="8"/>
  <c r="H49" i="8"/>
  <c r="I49" i="8"/>
  <c r="D49" i="8"/>
  <c r="H48" i="8"/>
  <c r="I48" i="8"/>
  <c r="M48" i="8"/>
  <c r="N48" i="8"/>
  <c r="K47" i="8"/>
  <c r="M47" i="8"/>
  <c r="N47" i="8"/>
  <c r="O47" i="8"/>
  <c r="L47" i="8"/>
  <c r="O46" i="8"/>
  <c r="P46" i="8"/>
  <c r="L46" i="8"/>
  <c r="I45" i="8"/>
  <c r="J45" i="8"/>
  <c r="K45" i="8"/>
  <c r="L45" i="8"/>
  <c r="M45" i="8"/>
  <c r="N45" i="8"/>
  <c r="O45" i="8"/>
  <c r="P45" i="8"/>
  <c r="H45" i="8"/>
  <c r="M44" i="8"/>
  <c r="L44" i="8"/>
  <c r="K44" i="8"/>
  <c r="T3" i="9"/>
  <c r="G3" i="9"/>
  <c r="A9" i="9" s="1"/>
  <c r="B3" i="9"/>
  <c r="S10" i="9" l="1"/>
  <c r="K5" i="9"/>
  <c r="B10" i="9"/>
  <c r="R8" i="9"/>
  <c r="I10" i="9"/>
  <c r="C8" i="9"/>
  <c r="K8" i="9"/>
  <c r="S8" i="9"/>
  <c r="P10" i="9"/>
  <c r="H10" i="9"/>
  <c r="D8" i="9"/>
  <c r="L8" i="9"/>
  <c r="O10" i="9"/>
  <c r="G10" i="9"/>
  <c r="E8" i="9"/>
  <c r="M8" i="9"/>
  <c r="N10" i="9"/>
  <c r="F10" i="9"/>
  <c r="F8" i="9"/>
  <c r="N8" i="9"/>
  <c r="R10" i="9"/>
  <c r="J8" i="9"/>
  <c r="M10" i="9"/>
  <c r="E10" i="9"/>
  <c r="G8" i="9"/>
  <c r="O8" i="9"/>
  <c r="L10" i="9"/>
  <c r="D10" i="9"/>
  <c r="H8" i="9"/>
  <c r="P8" i="9"/>
  <c r="K10" i="9"/>
  <c r="C10" i="9"/>
  <c r="I8" i="9"/>
  <c r="Q8" i="9"/>
  <c r="J10" i="9"/>
  <c r="Y47" i="8"/>
  <c r="Y50" i="8"/>
  <c r="T10" i="7"/>
  <c r="T39" i="7" s="1"/>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D39" i="7"/>
  <c r="E39" i="7"/>
  <c r="F39" i="7"/>
  <c r="G39" i="7"/>
  <c r="H39" i="7"/>
  <c r="I39" i="7"/>
  <c r="J39" i="7"/>
  <c r="K39" i="7"/>
  <c r="L39" i="7"/>
  <c r="M39" i="7"/>
  <c r="N39" i="7"/>
  <c r="O39" i="7"/>
  <c r="P39" i="7"/>
  <c r="Q39" i="7"/>
  <c r="S39" i="7"/>
  <c r="S11" i="8"/>
  <c r="R11" i="8" s="1"/>
  <c r="P53" i="8" s="1"/>
  <c r="P11" i="8"/>
  <c r="O53" i="8" s="1"/>
  <c r="K11" i="8"/>
  <c r="Q10" i="8"/>
  <c r="O52" i="8" s="1"/>
  <c r="O10" i="8"/>
  <c r="N52" i="8" s="1"/>
  <c r="F10" i="8"/>
  <c r="R9" i="8"/>
  <c r="O51" i="8" s="1"/>
  <c r="N9" i="8"/>
  <c r="L51" i="8" s="1"/>
  <c r="K9" i="8"/>
  <c r="J51" i="8" s="1"/>
  <c r="H9" i="8"/>
  <c r="J7" i="8"/>
  <c r="AA49" i="8" s="1"/>
  <c r="P6" i="8"/>
  <c r="L48" i="8" s="1"/>
  <c r="N6" i="8"/>
  <c r="K48" i="8" s="1"/>
  <c r="L6" i="8"/>
  <c r="K6" i="8" s="1"/>
  <c r="J48" i="8" s="1"/>
  <c r="G6" i="8"/>
  <c r="Q4" i="8"/>
  <c r="N46" i="8" s="1"/>
  <c r="O4" i="8"/>
  <c r="N4" i="8" s="1"/>
  <c r="K4" i="8"/>
  <c r="AA46" i="8" s="1"/>
  <c r="T3" i="8"/>
  <c r="R45" i="8" s="1"/>
  <c r="R3" i="8"/>
  <c r="G3" i="8"/>
  <c r="Q2" i="8"/>
  <c r="P2" i="8" s="1"/>
  <c r="K2" i="8"/>
  <c r="C39" i="7"/>
  <c r="K3" i="7"/>
  <c r="J9" i="4"/>
  <c r="J18" i="4" s="1"/>
  <c r="I9" i="4"/>
  <c r="I18" i="4" s="1"/>
  <c r="D15" i="4"/>
  <c r="C15" i="4"/>
  <c r="D13" i="4"/>
  <c r="C13" i="4"/>
  <c r="D11" i="4"/>
  <c r="D10" i="4" s="1"/>
  <c r="D19" i="4" s="1"/>
  <c r="C10" i="4"/>
  <c r="C11" i="4"/>
  <c r="D6" i="4"/>
  <c r="C6" i="4"/>
  <c r="C19" i="4" s="1"/>
  <c r="D16" i="2"/>
  <c r="C16" i="2"/>
  <c r="D14" i="2"/>
  <c r="D13" i="2" s="1"/>
  <c r="C13" i="2"/>
  <c r="C14" i="2"/>
  <c r="D10" i="2"/>
  <c r="C10" i="2"/>
  <c r="C20" i="2" s="1"/>
  <c r="I17" i="1"/>
  <c r="H17" i="1"/>
  <c r="I13" i="1"/>
  <c r="H13" i="1"/>
  <c r="I10" i="1"/>
  <c r="H10" i="1"/>
  <c r="I7" i="1"/>
  <c r="H7" i="1"/>
  <c r="H19" i="1" s="1"/>
  <c r="D16" i="5"/>
  <c r="C16" i="5"/>
  <c r="C18" i="5" s="1"/>
  <c r="D14" i="5"/>
  <c r="D18" i="5" s="1"/>
  <c r="C14" i="5"/>
  <c r="D5" i="5"/>
  <c r="C5" i="5"/>
  <c r="I17" i="5"/>
  <c r="I18" i="5"/>
  <c r="H18" i="5"/>
  <c r="H17" i="5" s="1"/>
  <c r="H15" i="5"/>
  <c r="H21" i="5" s="1"/>
  <c r="I15" i="5"/>
  <c r="I10" i="5"/>
  <c r="H10" i="5"/>
  <c r="I19" i="2"/>
  <c r="I21" i="5"/>
  <c r="I19" i="1"/>
  <c r="I19" i="3"/>
  <c r="H19" i="3"/>
  <c r="I17" i="3"/>
  <c r="H17" i="3"/>
  <c r="I6" i="3"/>
  <c r="H6" i="3"/>
  <c r="H21" i="3" s="1"/>
  <c r="D16" i="3"/>
  <c r="D15" i="3" s="1"/>
  <c r="C16" i="3"/>
  <c r="C15" i="3" s="1"/>
  <c r="D10" i="3"/>
  <c r="C10" i="3"/>
  <c r="D8" i="3"/>
  <c r="C8" i="3"/>
  <c r="AA45" i="8" l="1"/>
  <c r="AA51" i="8"/>
  <c r="AA53" i="8"/>
  <c r="AA44" i="8"/>
  <c r="U10" i="9" s="1"/>
  <c r="AA48" i="8"/>
  <c r="AA52" i="8"/>
  <c r="K3" i="9"/>
  <c r="U40" i="7"/>
  <c r="U9" i="9" s="1"/>
  <c r="C40" i="7"/>
  <c r="C9" i="9" s="1"/>
  <c r="R40" i="7"/>
  <c r="R9" i="9" s="1"/>
  <c r="H51" i="8"/>
  <c r="Y51" i="8" s="1"/>
  <c r="F52" i="8"/>
  <c r="Y52" i="8" s="1"/>
  <c r="G45" i="8"/>
  <c r="Y45" i="8" s="1"/>
  <c r="K46" i="8"/>
  <c r="Y46" i="8" s="1"/>
  <c r="Y44" i="8"/>
  <c r="G48" i="8"/>
  <c r="N40" i="7"/>
  <c r="N9" i="9" s="1"/>
  <c r="Y53" i="8"/>
  <c r="J49" i="8"/>
  <c r="I40" i="7"/>
  <c r="I9" i="9" s="1"/>
  <c r="T8" i="9"/>
  <c r="D40" i="7"/>
  <c r="D9" i="9" s="1"/>
  <c r="H40" i="7"/>
  <c r="H9" i="9" s="1"/>
  <c r="L40" i="7"/>
  <c r="L9" i="9" s="1"/>
  <c r="P40" i="7"/>
  <c r="P9" i="9" s="1"/>
  <c r="F40" i="7"/>
  <c r="F9" i="9" s="1"/>
  <c r="J40" i="7"/>
  <c r="J9" i="9" s="1"/>
  <c r="S40" i="7"/>
  <c r="S9" i="9" s="1"/>
  <c r="G40" i="7"/>
  <c r="G9" i="9" s="1"/>
  <c r="K40" i="7"/>
  <c r="K9" i="9" s="1"/>
  <c r="O40" i="7"/>
  <c r="O9" i="9" s="1"/>
  <c r="E40" i="7"/>
  <c r="E9" i="9" s="1"/>
  <c r="M40" i="7"/>
  <c r="M9" i="9" s="1"/>
  <c r="Q40" i="7"/>
  <c r="Q9" i="9" s="1"/>
  <c r="U11" i="7"/>
  <c r="U15" i="7"/>
  <c r="U19" i="7"/>
  <c r="U23" i="7"/>
  <c r="U27" i="7"/>
  <c r="U31" i="7"/>
  <c r="U35" i="7"/>
  <c r="U16" i="7"/>
  <c r="U20" i="7"/>
  <c r="U28" i="7"/>
  <c r="U32" i="7"/>
  <c r="U13" i="7"/>
  <c r="U21" i="7"/>
  <c r="U29" i="7"/>
  <c r="U33" i="7"/>
  <c r="U10" i="7"/>
  <c r="U18" i="7"/>
  <c r="U26" i="7"/>
  <c r="U30" i="7"/>
  <c r="U12" i="7"/>
  <c r="U24" i="7"/>
  <c r="U36" i="7"/>
  <c r="U17" i="7"/>
  <c r="U25" i="7"/>
  <c r="U37" i="7"/>
  <c r="U14" i="7"/>
  <c r="U22" i="7"/>
  <c r="U34" i="7"/>
  <c r="T7" i="7"/>
  <c r="U9" i="7"/>
  <c r="C22" i="1"/>
  <c r="D22" i="1"/>
  <c r="Y48" i="8" l="1"/>
  <c r="Y49" i="8"/>
</calcChain>
</file>

<file path=xl/sharedStrings.xml><?xml version="1.0" encoding="utf-8"?>
<sst xmlns="http://schemas.openxmlformats.org/spreadsheetml/2006/main" count="806" uniqueCount="233">
  <si>
    <t>Fjendetærte:</t>
  </si>
  <si>
    <t>Spm 1</t>
  </si>
  <si>
    <t>Spm 2</t>
  </si>
  <si>
    <t>Spm 3</t>
  </si>
  <si>
    <t>Spm 4</t>
  </si>
  <si>
    <t>Spm 5</t>
  </si>
  <si>
    <t>Spm 6</t>
  </si>
  <si>
    <t>Spm 7</t>
  </si>
  <si>
    <t>Spm 8</t>
  </si>
  <si>
    <t>Spm 9</t>
  </si>
  <si>
    <t>Spm 10</t>
  </si>
  <si>
    <t>Spm 11</t>
  </si>
  <si>
    <t>Spm 12</t>
  </si>
  <si>
    <t>Spm 13</t>
  </si>
  <si>
    <t>Spm 14</t>
  </si>
  <si>
    <t>Spm 5.1</t>
  </si>
  <si>
    <t>Spm 5.2</t>
  </si>
  <si>
    <t>Spm 7.1</t>
  </si>
  <si>
    <t>Spm 7.2</t>
  </si>
  <si>
    <t>Spm 16</t>
  </si>
  <si>
    <t>Spm 15.1</t>
  </si>
  <si>
    <t>Spm 15.2</t>
  </si>
  <si>
    <t>Tekst %gns:</t>
  </si>
  <si>
    <t>En utrolig nat:</t>
  </si>
  <si>
    <t>Spm 8.1</t>
  </si>
  <si>
    <t>Spm 8.2</t>
  </si>
  <si>
    <t>Spm 11.1</t>
  </si>
  <si>
    <t>Spm 11.2</t>
  </si>
  <si>
    <t>Spm 11.3</t>
  </si>
  <si>
    <t>Spm 12.1</t>
  </si>
  <si>
    <t>Spm 12.2</t>
  </si>
  <si>
    <t>DK gns 11</t>
  </si>
  <si>
    <t>Int. Gns 11</t>
  </si>
  <si>
    <t>Int. Gns 06</t>
  </si>
  <si>
    <t>DK gns 06</t>
  </si>
  <si>
    <t>Reddet af en delfin</t>
  </si>
  <si>
    <t>Reddet af en delfin:</t>
  </si>
  <si>
    <t>Rumvandring:</t>
  </si>
  <si>
    <t>Int. Gns FT06</t>
  </si>
  <si>
    <t>DK gns FT06</t>
  </si>
  <si>
    <t>Spm. 1</t>
  </si>
  <si>
    <t>MC</t>
  </si>
  <si>
    <t>Spm. 2</t>
  </si>
  <si>
    <t>Spm. 3</t>
  </si>
  <si>
    <t>Spm. 4</t>
  </si>
  <si>
    <t>Spm. 5</t>
  </si>
  <si>
    <t>Spm. 6</t>
  </si>
  <si>
    <t>Spm. 6.1</t>
  </si>
  <si>
    <t>Spm. 6.2</t>
  </si>
  <si>
    <t>Spm. 7</t>
  </si>
  <si>
    <t>Spm. 7.1</t>
  </si>
  <si>
    <t>Spm. 7.2</t>
  </si>
  <si>
    <t>Spm. 8</t>
  </si>
  <si>
    <t>Spm. 9</t>
  </si>
  <si>
    <t>Spm. 10</t>
  </si>
  <si>
    <t>Spm. 11</t>
  </si>
  <si>
    <t>Spm. 11.1</t>
  </si>
  <si>
    <t>Spm. 11.2</t>
  </si>
  <si>
    <t>Spm. 11.3</t>
  </si>
  <si>
    <t>(20,9)</t>
  </si>
  <si>
    <t>(25,2)</t>
  </si>
  <si>
    <t>(3)</t>
  </si>
  <si>
    <t>(Spm. 8)*</t>
  </si>
  <si>
    <t>* Spm. 8 var oprindeligt et åbent spørgsmål. Svarprocenter her er estimeret.</t>
  </si>
  <si>
    <t>Spm. 4.1</t>
  </si>
  <si>
    <t>Spm. 4.2</t>
  </si>
  <si>
    <t>Spm. 12</t>
  </si>
  <si>
    <t>Spm. 13</t>
  </si>
  <si>
    <t>Spm. 14</t>
  </si>
  <si>
    <t>Spm. 15</t>
  </si>
  <si>
    <t>Spm. 15.1</t>
  </si>
  <si>
    <t>Spm. 15.2</t>
  </si>
  <si>
    <t>Spm. 14.1</t>
  </si>
  <si>
    <t>Spm. 14.2</t>
  </si>
  <si>
    <t>Bør kun anvendes som et groft estimat.</t>
  </si>
  <si>
    <t>Den lille lerklump:</t>
  </si>
  <si>
    <t>Int. Gns MS06</t>
  </si>
  <si>
    <t>DK gns MS06</t>
  </si>
  <si>
    <t>MS</t>
  </si>
  <si>
    <t>Spm. 16</t>
  </si>
  <si>
    <t>Spm. 8.1</t>
  </si>
  <si>
    <t>Spm. 8.2</t>
  </si>
  <si>
    <t>Spm. 10.1</t>
  </si>
  <si>
    <t>Spm. 10.2</t>
  </si>
  <si>
    <t>Spm. 10.3</t>
  </si>
  <si>
    <t>Skønlitterær tekst</t>
  </si>
  <si>
    <t>Informationstekst (faglig tekst)</t>
  </si>
  <si>
    <t>Skønlitterære tekster</t>
  </si>
  <si>
    <t>Antarktis:</t>
  </si>
  <si>
    <t>Spm. 7.3</t>
  </si>
  <si>
    <t>Spm. 9.1</t>
  </si>
  <si>
    <t>Spm. 9.2</t>
  </si>
  <si>
    <t>På jagt efter mad:</t>
  </si>
  <si>
    <t>Informerende tekster</t>
  </si>
  <si>
    <t>Gåture i det fri:</t>
  </si>
  <si>
    <t>Spm. 3.1</t>
  </si>
  <si>
    <t>Spm. 3.2</t>
  </si>
  <si>
    <t>Spm. 12.1</t>
  </si>
  <si>
    <t>Spm. 12.2</t>
  </si>
  <si>
    <t>Flyv ørn, flyv:</t>
  </si>
  <si>
    <t>Spm 9.1</t>
  </si>
  <si>
    <t>Spm 9.2</t>
  </si>
  <si>
    <t>Mysteriet om kæmpetanden</t>
  </si>
  <si>
    <t>Mysteriet om kæmpetanden:</t>
  </si>
  <si>
    <t>Hæftet blev brugt til illustration på typen af tekster forud for hovedundersøgelsen i 2006.</t>
  </si>
  <si>
    <t>Spm. 13.1</t>
  </si>
  <si>
    <t>Spm. 13.2</t>
  </si>
  <si>
    <t>Spm. 13.3</t>
  </si>
  <si>
    <t>Data fra Field Trial i 2005 - uvægtede (dvs der er fx ikke taget højde for variation af antal drenge og piger, som har taget de forskellige opgaver).</t>
  </si>
  <si>
    <t>Data fra hovedundersøgelsen (Main Study) i 2006 - vægtede (dvs der fx er taget højde for variation af antal drenge og piger, som har taget de forskellige opgaver).</t>
  </si>
  <si>
    <t>Data fra hovedundersøgelsen (Main Study) i 2011 - vægtede (dvs der fx er taget højde for variation af antal drenge og piger, som har taget de forskellige opgaver).</t>
  </si>
  <si>
    <t>Spm. 8 (udgået)</t>
  </si>
  <si>
    <t>Resultater for de frigivne PIRLS tekster.</t>
  </si>
  <si>
    <t>I forbindelse med gennemførelsen af PIRLS undersøgelserne offentliggøres også nogle eksempler på, 
hvordan de tekster og spørgsmål eleverne præsenteres for, ser ud.</t>
  </si>
  <si>
    <t>Vejledning i at score de åbne elevbesvarelser findes også på hjemmesiden.</t>
  </si>
  <si>
    <t>Klasseresultat:</t>
  </si>
  <si>
    <t>Skole:</t>
  </si>
  <si>
    <t>Klasse:</t>
  </si>
  <si>
    <t>Nr.</t>
  </si>
  <si>
    <t>Dato:</t>
  </si>
  <si>
    <t>Anvendt tekst:</t>
  </si>
  <si>
    <t>Samlet antal point per opgave:</t>
  </si>
  <si>
    <t>Samlet</t>
  </si>
  <si>
    <t>Undersøgelse:</t>
  </si>
  <si>
    <t>FT 2005</t>
  </si>
  <si>
    <t>Klasseprocent rigtige per opgave:</t>
  </si>
  <si>
    <t>MS 2006</t>
  </si>
  <si>
    <t>MS 2011</t>
  </si>
  <si>
    <t>Antal point i alt</t>
  </si>
  <si>
    <t>Antal mulige point:</t>
  </si>
  <si>
    <t>Rumvandring</t>
  </si>
  <si>
    <t>Den lille lerklump</t>
  </si>
  <si>
    <t>En utrolig nat</t>
  </si>
  <si>
    <t>Antarktis</t>
  </si>
  <si>
    <t>På jagt efter mad</t>
  </si>
  <si>
    <t>Fjendetærte</t>
  </si>
  <si>
    <t>Flyv ørn, flyv</t>
  </si>
  <si>
    <t>Gåture i det fri</t>
  </si>
  <si>
    <t>Antal elever:</t>
  </si>
  <si>
    <t>Venlig hilsen</t>
  </si>
  <si>
    <t>Louise Rønberg og Jan Mejding</t>
  </si>
  <si>
    <t>Vælg tekst her:</t>
  </si>
  <si>
    <t xml:space="preserve">  </t>
  </si>
  <si>
    <t>IEA PIRLS frigivne tekster</t>
  </si>
  <si>
    <t>© IEA og Institut for Uddannelse og Pædagogik (DPU), AU</t>
  </si>
  <si>
    <t>Indtast antal point:
Elever:</t>
  </si>
  <si>
    <t>Klasse R%:</t>
  </si>
  <si>
    <t>Elev-% rigtige</t>
  </si>
  <si>
    <t>Man skal være opmærksom på, at det internationale gennemsnit for opgaverne kan variere fra cyklus til cyklus i undersøgelserne, da det ikke er de samme lande, der deltager fra gang til gang.
Derfor vil der - i dansk sammenhæng -   være mest information at hente i en sammenligning til de danske tal.</t>
  </si>
  <si>
    <t>Vælg den tekst, du vil anvende fra dropdown boksen på elevarket, og tast elevernes resultater ind,</t>
  </si>
  <si>
    <t xml:space="preserve">efter de er scoret ifølge kodevejledningerne for de pågældende tekster, så udregnes svarprocenten </t>
  </si>
  <si>
    <t>automatisk.</t>
  </si>
  <si>
    <t xml:space="preserve"> </t>
  </si>
  <si>
    <t>Max antal point pr opgave:</t>
  </si>
  <si>
    <t>Max antal point per spm.</t>
  </si>
  <si>
    <t>DK Norm:</t>
  </si>
  <si>
    <t>Samlet tekst</t>
  </si>
  <si>
    <t>Bemærkning:</t>
  </si>
  <si>
    <t>Hvis der er elever i klassen, som ikke deltager i testen, så skriv dem ikke på listen, men efterlad evt.
et tomt felt indtil den pågældende elevs resultater er klar. Kolonnen tæller selv antallet af elever op,
og bruger antallet i beregningen af klasseresultatet.</t>
  </si>
  <si>
    <r>
      <t xml:space="preserve">Da de forskellige tekster ikke er lige svære, kan man ikke umiddelbart sammenligne
 rigtighedsprocenterne i  dem. 
Vil du alligevel gerne sammenligne din klasses rigtighedsprocenter i to tekster, så kan 
du beregne den relative forskel til de danske landsresultater og så sammenligne dette tal. 
Det bliver dog kun en tilnærmet sammenligning, da det er 'lettere' at øge sin score på relativt 
svære tekster end på lettere tekster, da man ved de sidste nærmer sig 'loftet' på 100%.
Hvis din klasses gennemsnit således ligger +5% højere end det danske landsgennemsnit
i teksten </t>
    </r>
    <r>
      <rPr>
        <i/>
        <sz val="11"/>
        <color theme="1"/>
        <rFont val="Calibri"/>
        <family val="2"/>
        <scheme val="minor"/>
      </rPr>
      <t>Fjendetærte,</t>
    </r>
    <r>
      <rPr>
        <sz val="11"/>
        <color theme="1"/>
        <rFont val="Calibri"/>
        <family val="2"/>
        <scheme val="minor"/>
      </rPr>
      <t xml:space="preserve"> så skal din klasses gennemsnit i en anden tekst også ligge ca.
+5%  over landsgennemsnittet for denne tekst, hvis præstationerne i de to tekster
skal være sammenlignelige.</t>
    </r>
  </si>
  <si>
    <t>Gem en kopi af regnearket for hver af de tekster du anvender - og giv arket tekstens navn.</t>
  </si>
  <si>
    <t>http://www.edu.au.dk/pirls</t>
  </si>
  <si>
    <t>Teksterne kan findes på PIRLS hjemmesiden under overskriften: Materialer:</t>
  </si>
  <si>
    <t>MS 2016</t>
  </si>
  <si>
    <t>Blomster på taget</t>
  </si>
  <si>
    <t>Guldstråle</t>
  </si>
  <si>
    <t>Maja og den røde høne</t>
  </si>
  <si>
    <t>Leonardo da Vinci</t>
  </si>
  <si>
    <t>Hajer</t>
  </si>
  <si>
    <t>Den grønne havskildpadde</t>
  </si>
  <si>
    <t>MS3 2016</t>
  </si>
  <si>
    <t>Perlen</t>
  </si>
  <si>
    <t>Afrikanske næsehorn og …</t>
  </si>
  <si>
    <t>Spm. 17</t>
  </si>
  <si>
    <t>Int. Gns 16</t>
  </si>
  <si>
    <t>DK gns 16</t>
  </si>
  <si>
    <t>Data fra hovedundersøgelsen (Main Study) i 2016 - vægtede (dvs der fx er taget højde for variation af antal drenge og piger, som har taget de forskellige opgaver).</t>
  </si>
  <si>
    <t>Baghitas perfekte appelsin</t>
  </si>
  <si>
    <t>Træning af en døv isbjørn</t>
  </si>
  <si>
    <t>Maja og den røde høne:</t>
  </si>
  <si>
    <t>Spm 6.1</t>
  </si>
  <si>
    <t>Spm 6.2</t>
  </si>
  <si>
    <t>Spm 15</t>
  </si>
  <si>
    <t>Spm 12.3</t>
  </si>
  <si>
    <t>Spm 13.1</t>
  </si>
  <si>
    <t>Spm 13.2</t>
  </si>
  <si>
    <t>Spm 13.3</t>
  </si>
  <si>
    <t>Spm 14.1</t>
  </si>
  <si>
    <t>Spm 14.2</t>
  </si>
  <si>
    <t>Informerende tekster:</t>
  </si>
  <si>
    <t>Spm 2.1</t>
  </si>
  <si>
    <t>Spm 2.2</t>
  </si>
  <si>
    <t>Spm 3.1</t>
  </si>
  <si>
    <t>Spm 3.2</t>
  </si>
  <si>
    <t>Spm 10.1</t>
  </si>
  <si>
    <t>Spm 10.2</t>
  </si>
  <si>
    <t>Spm 1.2</t>
  </si>
  <si>
    <t>Informerende tekster 3. klasse:</t>
  </si>
  <si>
    <t>Skønlitterære tekster 3. klasse:</t>
  </si>
  <si>
    <t>Spm 1.1</t>
  </si>
  <si>
    <t>3. kl. Blomster på taget</t>
  </si>
  <si>
    <t>3. kl. Hajer</t>
  </si>
  <si>
    <t>3. kl. Perlen</t>
  </si>
  <si>
    <t>3. kl. Afrikanske næsehorn og …</t>
  </si>
  <si>
    <t>3. kl. Baghitas perfekte appelsin</t>
  </si>
  <si>
    <t>3. kl. Træning af en døv isbjørn</t>
  </si>
  <si>
    <r>
      <t xml:space="preserve">DK % Rigtige </t>
    </r>
    <r>
      <rPr>
        <b/>
        <i/>
        <sz val="11"/>
        <color rgb="FFFF0000"/>
        <rFont val="Calibri"/>
        <family val="2"/>
        <scheme val="minor"/>
      </rPr>
      <t>per</t>
    </r>
    <r>
      <rPr>
        <i/>
        <sz val="11"/>
        <color rgb="FFFF0000"/>
        <rFont val="Calibri"/>
        <family val="2"/>
        <scheme val="minor"/>
      </rPr>
      <t xml:space="preserve"> spørgsmål</t>
    </r>
  </si>
  <si>
    <t>2017Pirls</t>
  </si>
  <si>
    <t>© IEA og Danmarks Institut for Pædagogik og Uddannelse (DPU), AU</t>
  </si>
  <si>
    <t>© Mejding &amp; Rønberg, IEA og Danmarks Institut for Pædagogik og Uddannelse (DPU), AU</t>
  </si>
  <si>
    <t>PIRLS-undersøgelsens læsesyn fremgår af den offentliggjorte rammebeskrivelse - som dels er beskrevet
i de nationale PIRLS-rapporter, dels kan hentes i en engelsk version: 'PIRLS 2016 Assessment Framework', fra hjemmesiden.</t>
  </si>
  <si>
    <t>I 2016 blev der for første gang også gennemført en PIRLS i 3. klasse. Derfor kan nogle enkelte
af teksterne scores på begge klassetrin. Derved kan man få en fornemmelse for forskellen 
mellem de to klassetrin.</t>
  </si>
  <si>
    <t xml:space="preserve"> MS3 2016</t>
  </si>
  <si>
    <t xml:space="preserve"> Klassens rigtigheds %</t>
  </si>
  <si>
    <t xml:space="preserve"> FT 2005</t>
  </si>
  <si>
    <t xml:space="preserve"> MS 2006</t>
  </si>
  <si>
    <t xml:space="preserve"> MS 2011</t>
  </si>
  <si>
    <t xml:space="preserve"> MS 2016</t>
  </si>
  <si>
    <t>Spm 12.2*</t>
  </si>
  <si>
    <t>12.2* I kodevejledningen er dette spørgsmål 3-delt, men da der kun var meget få elever der fik 3 point, så er scoren for 3 og 2 point slået sammen.</t>
  </si>
  <si>
    <t>Arkiv - bliver muligvis frigivet senere</t>
  </si>
  <si>
    <t>Det internationale gennemsnit er beregnet på baggrund af de lande, der anvendte PIRLS Literacy testen i 2016: Iran, Kuwait, Marocco, Sydafrika og Ægypten.</t>
  </si>
  <si>
    <t>Spm 17 *</t>
  </si>
  <si>
    <t>*</t>
  </si>
  <si>
    <t>Da kun meget få elever fik to point i spørgsmål 17 blev scoren for de to niveauer lagt sammen.</t>
  </si>
  <si>
    <t>Antal point</t>
  </si>
  <si>
    <t>* =</t>
  </si>
  <si>
    <t>Point lagt sammen</t>
  </si>
  <si>
    <t>* spm 12 lagt sammen til 2 point</t>
  </si>
  <si>
    <t>% R Beregnet på antal point</t>
  </si>
  <si>
    <t>Vægtet gns.</t>
  </si>
  <si>
    <t>Tekst %gns**:</t>
  </si>
  <si>
    <t>**) Vægtet gns. beregnet på antal mulige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</si>
</sst>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kr.&quot;\ * #,##0.00_ ;_ &quot;kr.&quot;\ * \-#,##0.00_ ;_ &quot;kr.&quot;\ * &quot;-&quot;??_ ;_ @_ "/>
    <numFmt numFmtId="164" formatCode="0.0"/>
    <numFmt numFmtId="165" formatCode="0.0%"/>
  </numFmts>
  <fonts count="22"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b/>
      <sz val="11"/>
      <color theme="0"/>
      <name val="Calibri"/>
      <family val="2"/>
      <scheme val="minor"/>
    </font>
    <font>
      <b/>
      <i/>
      <sz val="9"/>
      <color theme="1"/>
      <name val="Calibri"/>
      <family val="2"/>
      <scheme val="minor"/>
    </font>
    <font>
      <b/>
      <sz val="24"/>
      <color theme="1"/>
      <name val="Calibri"/>
      <family val="2"/>
      <scheme val="minor"/>
    </font>
    <font>
      <i/>
      <sz val="11"/>
      <color theme="1"/>
      <name val="Calibri"/>
      <family val="2"/>
    </font>
    <font>
      <i/>
      <sz val="10"/>
      <color theme="1"/>
      <name val="Calibri"/>
      <family val="2"/>
      <scheme val="minor"/>
    </font>
    <font>
      <b/>
      <i/>
      <sz val="11"/>
      <color theme="1"/>
      <name val="Calibri"/>
      <family val="2"/>
      <scheme val="minor"/>
    </font>
    <font>
      <sz val="11"/>
      <color theme="1"/>
      <name val="Calibri"/>
      <family val="2"/>
      <scheme val="minor"/>
    </font>
    <font>
      <sz val="11"/>
      <color rgb="FFFF0000"/>
      <name val="Calibri"/>
      <family val="2"/>
      <scheme val="minor"/>
    </font>
    <font>
      <i/>
      <sz val="11"/>
      <color rgb="FFFF0000"/>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1"/>
      <color theme="4"/>
      <name val="Calibri"/>
      <family val="2"/>
      <scheme val="minor"/>
    </font>
    <font>
      <b/>
      <i/>
      <sz val="11"/>
      <color rgb="FFFF0000"/>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0" tint="-0.249977111117893"/>
        <bgColor indexed="64"/>
      </patternFill>
    </fill>
  </fills>
  <borders count="42">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0" tint="-0.249977111117893"/>
      </bottom>
      <diagonal/>
    </border>
    <border>
      <left style="thin">
        <color theme="1"/>
      </left>
      <right style="thin">
        <color theme="1"/>
      </right>
      <top style="thin">
        <color theme="0" tint="-0.249977111117893"/>
      </top>
      <bottom style="thin">
        <color theme="0" tint="-0.249977111117893"/>
      </bottom>
      <diagonal/>
    </border>
    <border>
      <left style="thin">
        <color theme="1"/>
      </left>
      <right style="thin">
        <color theme="1"/>
      </right>
      <top style="thin">
        <color theme="0" tint="-0.249977111117893"/>
      </top>
      <bottom style="thin">
        <color theme="1"/>
      </bottom>
      <diagonal/>
    </border>
    <border>
      <left style="thin">
        <color theme="1"/>
      </left>
      <right style="thin">
        <color theme="0" tint="-0.249977111117893"/>
      </right>
      <top style="thin">
        <color theme="1"/>
      </top>
      <bottom style="thin">
        <color theme="0" tint="-0.249977111117893"/>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249977111117893"/>
      </left>
      <right style="thin">
        <color theme="1"/>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1"/>
      </bottom>
      <diagonal/>
    </border>
    <border>
      <left style="thin">
        <color theme="0" tint="-0.249977111117893"/>
      </left>
      <right style="thin">
        <color theme="1"/>
      </right>
      <top style="thin">
        <color theme="0" tint="-0.249977111117893"/>
      </top>
      <bottom style="thin">
        <color theme="1"/>
      </bottom>
      <diagonal/>
    </border>
    <border>
      <left style="thin">
        <color theme="0" tint="-0.249977111117893"/>
      </left>
      <right style="thin">
        <color theme="0" tint="-0.249977111117893"/>
      </right>
      <top style="thin">
        <color theme="1"/>
      </top>
      <bottom style="thin">
        <color theme="0" tint="-0.249977111117893"/>
      </bottom>
      <diagonal/>
    </border>
    <border>
      <left style="thin">
        <color theme="0" tint="-0.249977111117893"/>
      </left>
      <right style="thin">
        <color theme="0" tint="-0.249977111117893"/>
      </right>
      <top style="thin">
        <color theme="0" tint="-0.249977111117893"/>
      </top>
      <bottom style="thin">
        <color theme="1"/>
      </bottom>
      <diagonal/>
    </border>
    <border>
      <left/>
      <right/>
      <top style="thin">
        <color theme="1"/>
      </top>
      <bottom style="thin">
        <color theme="1"/>
      </bottom>
      <diagonal/>
    </border>
    <border>
      <left style="thin">
        <color theme="1"/>
      </left>
      <right/>
      <top style="thin">
        <color theme="0" tint="-0.249977111117893"/>
      </top>
      <bottom style="thin">
        <color theme="0" tint="-0.249977111117893"/>
      </bottom>
      <diagonal/>
    </border>
    <border>
      <left style="thin">
        <color theme="1"/>
      </left>
      <right/>
      <top style="thin">
        <color theme="0" tint="-0.249977111117893"/>
      </top>
      <bottom style="thin">
        <color theme="1"/>
      </bottom>
      <diagonal/>
    </border>
    <border>
      <left style="thin">
        <color indexed="64"/>
      </left>
      <right/>
      <top style="thin">
        <color theme="1"/>
      </top>
      <bottom/>
      <diagonal/>
    </border>
    <border>
      <left/>
      <right/>
      <top style="thin">
        <color theme="1"/>
      </top>
      <bottom/>
      <diagonal/>
    </border>
    <border>
      <left style="thin">
        <color theme="1"/>
      </left>
      <right style="thin">
        <color theme="1"/>
      </right>
      <top/>
      <bottom style="thin">
        <color theme="0" tint="-0.249977111117893"/>
      </bottom>
      <diagonal/>
    </border>
    <border>
      <left style="thin">
        <color indexed="64"/>
      </left>
      <right style="thin">
        <color indexed="64"/>
      </right>
      <top style="thin">
        <color indexed="64"/>
      </top>
      <bottom/>
      <diagonal/>
    </border>
    <border>
      <left style="thin">
        <color theme="1"/>
      </left>
      <right/>
      <top/>
      <bottom style="thin">
        <color theme="0" tint="-0.249977111117893"/>
      </bottom>
      <diagonal/>
    </border>
    <border>
      <left/>
      <right style="thin">
        <color theme="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77111117893"/>
      </left>
      <right/>
      <top style="thin">
        <color theme="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1"/>
      </bottom>
      <diagonal/>
    </border>
    <border>
      <left style="thin">
        <color theme="0" tint="-0.249977111117893"/>
      </left>
      <right style="thin">
        <color theme="1"/>
      </right>
      <top/>
      <bottom style="thin">
        <color theme="0" tint="-0.249977111117893"/>
      </bottom>
      <diagonal/>
    </border>
  </borders>
  <cellStyleXfs count="3">
    <xf numFmtId="0" fontId="0" fillId="0" borderId="0"/>
    <xf numFmtId="44" fontId="11" fillId="0" borderId="0" applyFont="0" applyFill="0" applyBorder="0" applyAlignment="0" applyProtection="0"/>
    <xf numFmtId="0" fontId="15" fillId="0" borderId="0" applyNumberFormat="0" applyFill="0" applyBorder="0" applyAlignment="0" applyProtection="0"/>
  </cellStyleXfs>
  <cellXfs count="201">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0" fillId="0" borderId="0" xfId="0" applyAlignment="1">
      <alignment horizontal="center" vertical="top"/>
    </xf>
    <xf numFmtId="0" fontId="0" fillId="0" borderId="0" xfId="0" applyAlignment="1">
      <alignment horizontal="center"/>
    </xf>
    <xf numFmtId="0" fontId="0" fillId="0" borderId="0" xfId="0" quotePrefix="1" applyAlignment="1">
      <alignment horizontal="right"/>
    </xf>
    <xf numFmtId="0" fontId="0" fillId="0" borderId="0" xfId="0" quotePrefix="1" applyAlignment="1">
      <alignment horizontal="center" vertical="top"/>
    </xf>
    <xf numFmtId="164" fontId="0" fillId="0" borderId="0" xfId="0" applyNumberFormat="1"/>
    <xf numFmtId="0" fontId="0" fillId="0" borderId="0" xfId="0" applyFont="1" applyAlignment="1">
      <alignment horizontal="center" vertical="top"/>
    </xf>
    <xf numFmtId="164" fontId="0" fillId="0" borderId="1" xfId="0" applyNumberFormat="1" applyBorder="1"/>
    <xf numFmtId="0" fontId="3" fillId="0" borderId="0" xfId="0" applyFont="1"/>
    <xf numFmtId="0" fontId="1" fillId="0" borderId="0" xfId="0" applyFont="1" applyBorder="1" applyAlignment="1">
      <alignment horizontal="center" vertical="top"/>
    </xf>
    <xf numFmtId="164" fontId="0" fillId="0" borderId="0" xfId="0" applyNumberFormat="1" applyAlignment="1">
      <alignment horizontal="right" vertical="top"/>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0" xfId="0" applyNumberFormat="1"/>
    <xf numFmtId="1" fontId="0" fillId="0" borderId="0" xfId="0" quotePrefix="1" applyNumberFormat="1" applyAlignment="1">
      <alignment horizontal="right"/>
    </xf>
    <xf numFmtId="1" fontId="0" fillId="0" borderId="0" xfId="0" applyNumberFormat="1" applyAlignment="1">
      <alignment horizontal="center"/>
    </xf>
    <xf numFmtId="165" fontId="2" fillId="0" borderId="7" xfId="0" applyNumberFormat="1" applyFont="1" applyBorder="1" applyAlignment="1">
      <alignment horizontal="center"/>
    </xf>
    <xf numFmtId="165" fontId="2" fillId="0" borderId="12" xfId="0" applyNumberFormat="1" applyFont="1" applyBorder="1"/>
    <xf numFmtId="0" fontId="0" fillId="0" borderId="11" xfId="0" applyBorder="1"/>
    <xf numFmtId="165" fontId="2" fillId="0" borderId="10" xfId="0" applyNumberFormat="1" applyFont="1" applyBorder="1"/>
    <xf numFmtId="165" fontId="2" fillId="0" borderId="11" xfId="0" applyNumberFormat="1" applyFont="1" applyBorder="1"/>
    <xf numFmtId="0" fontId="1" fillId="2" borderId="0" xfId="0" applyFont="1" applyFill="1"/>
    <xf numFmtId="0" fontId="0" fillId="2" borderId="0" xfId="0" applyFill="1"/>
    <xf numFmtId="0" fontId="0" fillId="2" borderId="0" xfId="0" applyFill="1" applyBorder="1" applyAlignment="1">
      <alignment horizontal="left"/>
    </xf>
    <xf numFmtId="0" fontId="0" fillId="2" borderId="0" xfId="0" applyFill="1" applyBorder="1"/>
    <xf numFmtId="14" fontId="0" fillId="2" borderId="0" xfId="0" applyNumberFormat="1" applyFill="1" applyBorder="1"/>
    <xf numFmtId="0" fontId="1" fillId="2" borderId="2" xfId="0" applyFont="1" applyFill="1" applyBorder="1" applyAlignment="1">
      <alignment horizontal="center"/>
    </xf>
    <xf numFmtId="0" fontId="0" fillId="2" borderId="0" xfId="0" applyFill="1" applyAlignment="1"/>
    <xf numFmtId="0" fontId="0" fillId="2" borderId="0" xfId="0" applyFill="1" applyAlignment="1">
      <alignment horizontal="left"/>
    </xf>
    <xf numFmtId="49" fontId="0" fillId="2" borderId="0" xfId="0" applyNumberFormat="1" applyFill="1" applyAlignment="1">
      <alignment horizontal="center" wrapText="1"/>
    </xf>
    <xf numFmtId="0" fontId="0" fillId="2" borderId="0" xfId="0" applyFill="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9" fillId="0" borderId="8" xfId="0" applyFont="1" applyBorder="1"/>
    <xf numFmtId="0" fontId="0" fillId="0" borderId="13" xfId="0" applyBorder="1" applyAlignment="1" applyProtection="1">
      <alignment horizontal="center"/>
      <protection locked="0"/>
    </xf>
    <xf numFmtId="0" fontId="3" fillId="0" borderId="17" xfId="0" applyFont="1" applyBorder="1" applyAlignment="1">
      <alignment horizontal="center"/>
    </xf>
    <xf numFmtId="0" fontId="3" fillId="0" borderId="18" xfId="0" applyFont="1" applyBorder="1" applyAlignment="1">
      <alignment horizontal="center"/>
    </xf>
    <xf numFmtId="0" fontId="0" fillId="0" borderId="19"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3" xfId="0" applyBorder="1" applyAlignment="1" applyProtection="1">
      <alignment horizontal="center"/>
      <protection locked="0"/>
    </xf>
    <xf numFmtId="165" fontId="2" fillId="0" borderId="16" xfId="0" applyNumberFormat="1" applyFont="1" applyBorder="1" applyAlignment="1">
      <alignment horizontal="center"/>
    </xf>
    <xf numFmtId="165" fontId="2" fillId="0" borderId="17" xfId="0" applyNumberFormat="1" applyFont="1" applyBorder="1" applyAlignment="1">
      <alignment horizontal="center"/>
    </xf>
    <xf numFmtId="165" fontId="2" fillId="0" borderId="18" xfId="0" applyNumberFormat="1" applyFont="1" applyBorder="1" applyAlignment="1">
      <alignment horizontal="center"/>
    </xf>
    <xf numFmtId="0" fontId="9" fillId="0" borderId="0" xfId="0" applyFont="1" applyBorder="1" applyAlignment="1">
      <alignment horizontal="center"/>
    </xf>
    <xf numFmtId="49" fontId="3" fillId="0" borderId="8" xfId="0" applyNumberFormat="1" applyFont="1" applyBorder="1" applyAlignment="1">
      <alignment horizontal="center" wrapText="1"/>
    </xf>
    <xf numFmtId="0" fontId="2" fillId="2" borderId="26" xfId="0" applyFont="1" applyFill="1" applyBorder="1" applyAlignment="1">
      <alignment horizontal="center" vertical="center"/>
    </xf>
    <xf numFmtId="0" fontId="2" fillId="2" borderId="26" xfId="0" applyFont="1" applyFill="1" applyBorder="1" applyAlignment="1">
      <alignment horizontal="center"/>
    </xf>
    <xf numFmtId="0" fontId="0" fillId="2" borderId="15" xfId="0" applyFill="1" applyBorder="1" applyAlignment="1">
      <alignment horizontal="left"/>
    </xf>
    <xf numFmtId="0" fontId="1" fillId="2" borderId="14" xfId="0" applyFont="1" applyFill="1" applyBorder="1" applyAlignment="1">
      <alignment horizontal="center" vertical="center"/>
    </xf>
    <xf numFmtId="0" fontId="4" fillId="2" borderId="0" xfId="0" applyFont="1" applyFill="1"/>
    <xf numFmtId="0" fontId="0" fillId="2" borderId="0" xfId="0" applyFill="1" applyAlignment="1">
      <alignment wrapText="1"/>
    </xf>
    <xf numFmtId="0" fontId="8" fillId="2" borderId="0" xfId="0" applyFont="1" applyFill="1"/>
    <xf numFmtId="1" fontId="5" fillId="0" borderId="16" xfId="0" applyNumberFormat="1" applyFont="1" applyBorder="1" applyAlignment="1">
      <alignment horizontal="center"/>
    </xf>
    <xf numFmtId="1" fontId="5" fillId="0" borderId="17" xfId="0" applyNumberFormat="1" applyFont="1" applyBorder="1" applyAlignment="1">
      <alignment horizontal="center"/>
    </xf>
    <xf numFmtId="1" fontId="5" fillId="0" borderId="18" xfId="0" applyNumberFormat="1" applyFont="1" applyBorder="1" applyAlignment="1">
      <alignment horizontal="center"/>
    </xf>
    <xf numFmtId="1" fontId="5" fillId="0" borderId="9" xfId="0" applyNumberFormat="1" applyFont="1" applyBorder="1" applyAlignment="1">
      <alignment horizontal="center"/>
    </xf>
    <xf numFmtId="0" fontId="7" fillId="2" borderId="0" xfId="0" applyFont="1" applyFill="1" applyAlignment="1">
      <alignment vertical="center"/>
    </xf>
    <xf numFmtId="0" fontId="0" fillId="0" borderId="27" xfId="0" applyBorder="1" applyAlignment="1" applyProtection="1">
      <protection locked="0"/>
    </xf>
    <xf numFmtId="0" fontId="0" fillId="0" borderId="28" xfId="0" applyBorder="1" applyAlignment="1" applyProtection="1">
      <protection locked="0"/>
    </xf>
    <xf numFmtId="0" fontId="3" fillId="2" borderId="29" xfId="0" applyFont="1" applyFill="1" applyBorder="1" applyAlignment="1"/>
    <xf numFmtId="0" fontId="3" fillId="2" borderId="30" xfId="0" applyFont="1" applyFill="1" applyBorder="1" applyAlignment="1"/>
    <xf numFmtId="0" fontId="3" fillId="2" borderId="10" xfId="0" applyFont="1" applyFill="1" applyBorder="1" applyAlignment="1"/>
    <xf numFmtId="0" fontId="3" fillId="2" borderId="12" xfId="0" applyFont="1" applyFill="1" applyBorder="1" applyAlignment="1"/>
    <xf numFmtId="0" fontId="3" fillId="0" borderId="31" xfId="0" applyFont="1" applyBorder="1" applyAlignment="1">
      <alignment horizontal="center"/>
    </xf>
    <xf numFmtId="0" fontId="0" fillId="0" borderId="32" xfId="0" applyBorder="1"/>
    <xf numFmtId="0" fontId="3" fillId="0" borderId="7" xfId="0" applyFont="1" applyBorder="1" applyAlignment="1">
      <alignment horizontal="center"/>
    </xf>
    <xf numFmtId="49" fontId="6" fillId="2" borderId="30" xfId="0" applyNumberFormat="1" applyFont="1" applyFill="1" applyBorder="1" applyAlignment="1">
      <alignment horizontal="center" vertical="center" wrapText="1"/>
    </xf>
    <xf numFmtId="0" fontId="0" fillId="0" borderId="33" xfId="0" applyBorder="1" applyAlignment="1" applyProtection="1">
      <protection locked="0"/>
    </xf>
    <xf numFmtId="0" fontId="3" fillId="0" borderId="2" xfId="0" applyFont="1" applyBorder="1" applyAlignment="1">
      <alignment wrapText="1"/>
    </xf>
    <xf numFmtId="0" fontId="1" fillId="2" borderId="0" xfId="0" applyFont="1" applyFill="1" applyAlignment="1">
      <alignment vertical="center"/>
    </xf>
    <xf numFmtId="0" fontId="0" fillId="2" borderId="0" xfId="0" applyFill="1" applyBorder="1" applyAlignment="1" applyProtection="1">
      <protection locked="0"/>
    </xf>
    <xf numFmtId="0" fontId="0" fillId="2" borderId="2" xfId="0" applyFill="1" applyBorder="1" applyAlignment="1" applyProtection="1">
      <alignment horizontal="center" vertical="center"/>
      <protection locked="0"/>
    </xf>
    <xf numFmtId="164" fontId="0" fillId="0" borderId="0" xfId="0" applyNumberFormat="1" applyAlignment="1">
      <alignment horizontal="center"/>
    </xf>
    <xf numFmtId="164" fontId="0" fillId="0" borderId="0" xfId="0" applyNumberFormat="1" applyAlignment="1">
      <alignment horizontal="right"/>
    </xf>
    <xf numFmtId="164" fontId="0" fillId="0" borderId="0" xfId="0" quotePrefix="1" applyNumberFormat="1" applyAlignment="1">
      <alignment horizontal="right"/>
    </xf>
    <xf numFmtId="1" fontId="12" fillId="0" borderId="0" xfId="0" applyNumberFormat="1" applyFont="1"/>
    <xf numFmtId="0" fontId="1" fillId="0" borderId="0" xfId="0" applyFont="1" applyFill="1"/>
    <xf numFmtId="0" fontId="0" fillId="0" borderId="0" xfId="0" applyFill="1" applyAlignment="1">
      <alignment horizontal="center"/>
    </xf>
    <xf numFmtId="164" fontId="0" fillId="0" borderId="0" xfId="0" applyNumberFormat="1" applyFill="1"/>
    <xf numFmtId="1" fontId="0" fillId="0" borderId="0" xfId="0" applyNumberFormat="1" applyFill="1" applyAlignment="1">
      <alignment horizontal="center"/>
    </xf>
    <xf numFmtId="1" fontId="0" fillId="0" borderId="0" xfId="0" applyNumberFormat="1" applyFill="1"/>
    <xf numFmtId="1" fontId="12" fillId="0" borderId="0" xfId="0" applyNumberFormat="1" applyFont="1" applyFill="1"/>
    <xf numFmtId="164" fontId="0" fillId="0" borderId="0" xfId="0" applyNumberFormat="1" applyFill="1" applyAlignment="1">
      <alignment horizontal="center"/>
    </xf>
    <xf numFmtId="0" fontId="0" fillId="0" borderId="0" xfId="0" applyFill="1"/>
    <xf numFmtId="0" fontId="13" fillId="0" borderId="0" xfId="0" applyFont="1"/>
    <xf numFmtId="0" fontId="7" fillId="2" borderId="0" xfId="0" applyFont="1" applyFill="1" applyAlignment="1" applyProtection="1">
      <alignment vertical="center"/>
    </xf>
    <xf numFmtId="0" fontId="0" fillId="2" borderId="0" xfId="0" applyFill="1" applyProtection="1"/>
    <xf numFmtId="0" fontId="1" fillId="2" borderId="0" xfId="0" applyFont="1" applyFill="1" applyAlignment="1" applyProtection="1">
      <alignment vertical="center"/>
    </xf>
    <xf numFmtId="0" fontId="1" fillId="2" borderId="0" xfId="0" applyFont="1" applyFill="1" applyProtection="1"/>
    <xf numFmtId="0" fontId="0" fillId="2" borderId="0" xfId="0" applyFill="1" applyBorder="1" applyAlignment="1" applyProtection="1"/>
    <xf numFmtId="0" fontId="0" fillId="2" borderId="2" xfId="0"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0" fillId="2" borderId="0" xfId="0" applyFill="1" applyBorder="1" applyAlignment="1" applyProtection="1">
      <alignment horizontal="left"/>
    </xf>
    <xf numFmtId="0" fontId="0" fillId="2" borderId="0" xfId="0" applyFill="1" applyBorder="1" applyProtection="1"/>
    <xf numFmtId="14" fontId="0" fillId="2" borderId="0" xfId="0" applyNumberFormat="1" applyFill="1" applyBorder="1" applyProtection="1"/>
    <xf numFmtId="49" fontId="1" fillId="2" borderId="3" xfId="0" applyNumberFormat="1" applyFont="1" applyFill="1" applyBorder="1" applyProtection="1"/>
    <xf numFmtId="49" fontId="1" fillId="2" borderId="4" xfId="0" applyNumberFormat="1" applyFont="1" applyFill="1" applyBorder="1" applyAlignment="1" applyProtection="1"/>
    <xf numFmtId="49" fontId="1" fillId="2" borderId="5" xfId="0" applyNumberFormat="1" applyFont="1" applyFill="1" applyBorder="1" applyAlignment="1" applyProtection="1"/>
    <xf numFmtId="0" fontId="1" fillId="2" borderId="2" xfId="0" applyFont="1" applyFill="1" applyBorder="1" applyAlignment="1" applyProtection="1">
      <alignment horizontal="center"/>
    </xf>
    <xf numFmtId="49" fontId="1" fillId="2" borderId="0" xfId="0" applyNumberFormat="1" applyFont="1" applyFill="1" applyBorder="1" applyProtection="1"/>
    <xf numFmtId="49" fontId="1" fillId="2" borderId="0" xfId="0" applyNumberFormat="1" applyFont="1" applyFill="1" applyBorder="1" applyAlignment="1" applyProtection="1"/>
    <xf numFmtId="0" fontId="1" fillId="2" borderId="0" xfId="0" applyFont="1" applyFill="1" applyBorder="1" applyAlignment="1" applyProtection="1">
      <alignment horizontal="center"/>
    </xf>
    <xf numFmtId="0" fontId="0" fillId="2" borderId="35" xfId="0" applyFill="1" applyBorder="1" applyProtection="1"/>
    <xf numFmtId="0" fontId="0" fillId="2" borderId="37" xfId="0" applyFill="1" applyBorder="1" applyProtection="1"/>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0" fillId="2" borderId="32" xfId="0" applyFill="1" applyBorder="1" applyAlignment="1" applyProtection="1"/>
    <xf numFmtId="49" fontId="9" fillId="2" borderId="37" xfId="0" applyNumberFormat="1" applyFont="1" applyFill="1" applyBorder="1" applyAlignment="1" applyProtection="1">
      <alignment horizontal="center" vertical="center" wrapText="1"/>
    </xf>
    <xf numFmtId="0" fontId="0" fillId="2" borderId="3" xfId="0" applyFill="1" applyBorder="1" applyProtection="1"/>
    <xf numFmtId="49" fontId="6" fillId="2" borderId="5"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8" xfId="0" applyFont="1" applyFill="1" applyBorder="1" applyAlignment="1" applyProtection="1">
      <alignment horizontal="center"/>
    </xf>
    <xf numFmtId="0" fontId="0" fillId="2" borderId="10" xfId="0" applyFill="1" applyBorder="1" applyAlignment="1" applyProtection="1">
      <alignment horizontal="center" vertical="center"/>
    </xf>
    <xf numFmtId="0" fontId="10" fillId="2" borderId="11" xfId="0" applyFont="1" applyFill="1" applyBorder="1" applyAlignment="1" applyProtection="1">
      <alignment vertical="center"/>
    </xf>
    <xf numFmtId="164" fontId="1" fillId="2" borderId="36" xfId="0" applyNumberFormat="1" applyFont="1" applyFill="1" applyBorder="1" applyAlignment="1" applyProtection="1">
      <alignment horizontal="center" vertical="center"/>
    </xf>
    <xf numFmtId="0" fontId="1" fillId="2" borderId="8" xfId="0" applyFont="1" applyFill="1" applyBorder="1" applyProtection="1"/>
    <xf numFmtId="164" fontId="1" fillId="2" borderId="9" xfId="0" applyNumberFormat="1" applyFont="1" applyFill="1" applyBorder="1" applyAlignment="1" applyProtection="1">
      <alignment horizontal="center" vertical="center"/>
    </xf>
    <xf numFmtId="0" fontId="3" fillId="2" borderId="7" xfId="0" applyFont="1" applyFill="1" applyBorder="1" applyAlignment="1" applyProtection="1">
      <alignment vertical="center"/>
    </xf>
    <xf numFmtId="0" fontId="14" fillId="2" borderId="7" xfId="0" applyFont="1" applyFill="1" applyBorder="1" applyAlignment="1" applyProtection="1">
      <alignment horizontal="center" vertical="center"/>
    </xf>
    <xf numFmtId="164" fontId="14" fillId="2" borderId="10" xfId="0" applyNumberFormat="1" applyFont="1" applyFill="1" applyBorder="1" applyAlignment="1" applyProtection="1">
      <alignment horizontal="center" vertical="center"/>
    </xf>
    <xf numFmtId="164" fontId="14" fillId="2" borderId="12" xfId="0" applyNumberFormat="1" applyFont="1" applyFill="1" applyBorder="1" applyAlignment="1" applyProtection="1">
      <alignment horizontal="center" vertical="center"/>
    </xf>
    <xf numFmtId="164" fontId="14" fillId="2" borderId="11" xfId="0" applyNumberFormat="1" applyFont="1" applyFill="1" applyBorder="1" applyAlignment="1" applyProtection="1">
      <alignment horizontal="center" vertical="center"/>
    </xf>
    <xf numFmtId="0" fontId="15" fillId="2" borderId="0" xfId="2" applyFill="1"/>
    <xf numFmtId="0" fontId="2" fillId="0" borderId="0" xfId="0" applyFont="1" applyProtection="1"/>
    <xf numFmtId="1" fontId="16" fillId="0" borderId="0" xfId="0" applyNumberFormat="1" applyFont="1" applyFill="1"/>
    <xf numFmtId="1" fontId="0" fillId="0" borderId="0" xfId="0" applyNumberFormat="1" applyFont="1" applyFill="1"/>
    <xf numFmtId="164" fontId="0" fillId="3" borderId="0" xfId="0" applyNumberFormat="1" applyFill="1"/>
    <xf numFmtId="0" fontId="0" fillId="3" borderId="0" xfId="0" applyFill="1"/>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49" fontId="3" fillId="0" borderId="9" xfId="0" applyNumberFormat="1" applyFont="1" applyBorder="1" applyAlignment="1">
      <alignment horizontal="center" wrapText="1"/>
    </xf>
    <xf numFmtId="0" fontId="2" fillId="2" borderId="30" xfId="0" applyFont="1" applyFill="1" applyBorder="1" applyAlignment="1">
      <alignment horizontal="center" vertical="center"/>
    </xf>
    <xf numFmtId="0" fontId="0" fillId="0" borderId="41" xfId="0" applyBorder="1" applyAlignment="1" applyProtection="1">
      <alignment horizontal="center"/>
      <protection locked="0"/>
    </xf>
    <xf numFmtId="0" fontId="9" fillId="0" borderId="5" xfId="0" applyFont="1" applyBorder="1" applyAlignment="1">
      <alignment horizontal="center"/>
    </xf>
    <xf numFmtId="1" fontId="17" fillId="0" borderId="0" xfId="0" applyNumberFormat="1" applyFont="1"/>
    <xf numFmtId="0" fontId="1" fillId="0" borderId="0" xfId="0" applyFont="1" applyBorder="1"/>
    <xf numFmtId="164" fontId="1" fillId="0" borderId="0" xfId="0" applyNumberFormat="1" applyFont="1" applyBorder="1"/>
    <xf numFmtId="0" fontId="0" fillId="0" borderId="0" xfId="0" applyBorder="1"/>
    <xf numFmtId="0" fontId="0" fillId="0" borderId="0" xfId="0" applyBorder="1" applyAlignment="1">
      <alignment horizontal="center" vertical="top"/>
    </xf>
    <xf numFmtId="0" fontId="0" fillId="0" borderId="0" xfId="0" applyBorder="1" applyAlignment="1">
      <alignment horizontal="center"/>
    </xf>
    <xf numFmtId="0" fontId="10" fillId="0" borderId="0" xfId="0" applyFont="1"/>
    <xf numFmtId="2" fontId="0" fillId="0" borderId="0" xfId="0" applyNumberFormat="1"/>
    <xf numFmtId="2" fontId="0" fillId="3" borderId="0" xfId="0" applyNumberFormat="1" applyFill="1"/>
    <xf numFmtId="2" fontId="0" fillId="0" borderId="0" xfId="0" applyNumberFormat="1" applyFill="1"/>
    <xf numFmtId="164" fontId="0" fillId="4" borderId="0" xfId="0" applyNumberFormat="1" applyFill="1"/>
    <xf numFmtId="0" fontId="2" fillId="0" borderId="0" xfId="0" applyFont="1"/>
    <xf numFmtId="0" fontId="5" fillId="0" borderId="0" xfId="0" applyFont="1"/>
    <xf numFmtId="0" fontId="2" fillId="0" borderId="0" xfId="0" applyFont="1" applyAlignment="1">
      <alignment horizontal="center" vertical="top"/>
    </xf>
    <xf numFmtId="164" fontId="2" fillId="0" borderId="0" xfId="0" applyNumberFormat="1" applyFont="1"/>
    <xf numFmtId="0" fontId="5" fillId="0" borderId="1" xfId="0" applyFont="1" applyBorder="1"/>
    <xf numFmtId="0" fontId="5" fillId="0" borderId="0" xfId="0" applyFont="1" applyBorder="1" applyAlignment="1">
      <alignment horizontal="center" vertical="top"/>
    </xf>
    <xf numFmtId="164" fontId="5" fillId="0" borderId="1" xfId="0" applyNumberFormat="1" applyFont="1" applyBorder="1"/>
    <xf numFmtId="0" fontId="5" fillId="0" borderId="0" xfId="0" applyFont="1" applyFill="1"/>
    <xf numFmtId="0" fontId="0" fillId="0" borderId="0" xfId="0" applyAlignment="1">
      <alignment horizontal="right"/>
    </xf>
    <xf numFmtId="1" fontId="0" fillId="5" borderId="0" xfId="0" applyNumberFormat="1" applyFill="1"/>
    <xf numFmtId="0" fontId="20" fillId="0" borderId="0" xfId="0" applyFont="1" applyAlignment="1">
      <alignment horizontal="center"/>
    </xf>
    <xf numFmtId="0" fontId="9" fillId="0" borderId="0" xfId="0" applyFont="1"/>
    <xf numFmtId="0" fontId="21" fillId="0" borderId="0" xfId="0" applyFont="1"/>
    <xf numFmtId="0" fontId="21" fillId="0" borderId="0" xfId="0" applyFont="1" applyAlignment="1">
      <alignment horizontal="right"/>
    </xf>
    <xf numFmtId="0" fontId="9" fillId="0" borderId="0" xfId="0" quotePrefix="1" applyFont="1"/>
    <xf numFmtId="0" fontId="19" fillId="0" borderId="0" xfId="0" applyFont="1" applyAlignment="1">
      <alignment vertical="top" wrapText="1"/>
    </xf>
    <xf numFmtId="1" fontId="16" fillId="0" borderId="0" xfId="0" applyNumberFormat="1" applyFont="1" applyAlignment="1">
      <alignment horizontal="center"/>
    </xf>
    <xf numFmtId="1" fontId="16" fillId="0" borderId="0" xfId="0" applyNumberFormat="1" applyFont="1" applyFill="1" applyAlignment="1">
      <alignment horizontal="center"/>
    </xf>
    <xf numFmtId="0" fontId="9" fillId="2" borderId="7" xfId="0" applyFont="1" applyFill="1" applyBorder="1" applyAlignment="1" applyProtection="1">
      <alignment horizontal="center" vertical="top"/>
    </xf>
    <xf numFmtId="0" fontId="9" fillId="0" borderId="0" xfId="0" applyFont="1" applyAlignment="1">
      <alignment horizontal="center" vertical="top"/>
    </xf>
    <xf numFmtId="14" fontId="0" fillId="2" borderId="3" xfId="0" applyNumberFormat="1"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49" fontId="1" fillId="2" borderId="3" xfId="0" applyNumberFormat="1" applyFont="1" applyFill="1" applyBorder="1" applyAlignment="1" applyProtection="1">
      <alignment horizontal="left"/>
      <protection locked="0"/>
    </xf>
    <xf numFmtId="49" fontId="1" fillId="2" borderId="4" xfId="0" applyNumberFormat="1" applyFont="1" applyFill="1" applyBorder="1" applyAlignment="1" applyProtection="1">
      <alignment horizontal="left"/>
      <protection locked="0"/>
    </xf>
    <xf numFmtId="49" fontId="1" fillId="2" borderId="5" xfId="0" applyNumberFormat="1" applyFont="1" applyFill="1" applyBorder="1" applyAlignment="1" applyProtection="1">
      <alignment horizontal="left"/>
      <protection locked="0"/>
    </xf>
    <xf numFmtId="49" fontId="10" fillId="2" borderId="0" xfId="0" applyNumberFormat="1" applyFont="1" applyFill="1" applyBorder="1" applyAlignment="1">
      <alignment horizontal="center" vertical="center" wrapText="1"/>
    </xf>
    <xf numFmtId="49" fontId="10" fillId="2" borderId="34" xfId="0" applyNumberFormat="1" applyFont="1" applyFill="1" applyBorder="1" applyAlignment="1">
      <alignment horizontal="center" vertical="center" wrapText="1"/>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8" fillId="2" borderId="0" xfId="0" applyFont="1" applyFill="1" applyAlignment="1">
      <alignment horizontal="left"/>
    </xf>
    <xf numFmtId="44" fontId="0" fillId="2" borderId="35" xfId="1" applyFont="1" applyFill="1" applyBorder="1" applyAlignment="1" applyProtection="1">
      <alignment horizontal="left" vertical="top"/>
      <protection locked="0"/>
    </xf>
    <xf numFmtId="44" fontId="0" fillId="2" borderId="36" xfId="1" applyFont="1" applyFill="1" applyBorder="1" applyAlignment="1" applyProtection="1">
      <alignment horizontal="left" vertical="top"/>
      <protection locked="0"/>
    </xf>
    <xf numFmtId="44" fontId="0" fillId="2" borderId="37" xfId="1" applyFont="1" applyFill="1" applyBorder="1" applyAlignment="1" applyProtection="1">
      <alignment horizontal="left" vertical="top"/>
      <protection locked="0"/>
    </xf>
    <xf numFmtId="44" fontId="0" fillId="2" borderId="10" xfId="1" applyFont="1" applyFill="1" applyBorder="1" applyAlignment="1" applyProtection="1">
      <alignment horizontal="left" vertical="top"/>
      <protection locked="0"/>
    </xf>
    <xf numFmtId="44" fontId="0" fillId="2" borderId="12" xfId="1" applyFont="1" applyFill="1" applyBorder="1" applyAlignment="1" applyProtection="1">
      <alignment horizontal="left" vertical="top"/>
      <protection locked="0"/>
    </xf>
    <xf numFmtId="44" fontId="0" fillId="2" borderId="11" xfId="1" applyFont="1" applyFill="1" applyBorder="1" applyAlignment="1" applyProtection="1">
      <alignment horizontal="left" vertical="top"/>
      <protection locked="0"/>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0" fillId="2" borderId="5" xfId="0" applyFill="1" applyBorder="1" applyAlignment="1" applyProtection="1">
      <alignment horizontal="left" vertical="center"/>
    </xf>
    <xf numFmtId="49" fontId="10" fillId="2" borderId="0" xfId="0" applyNumberFormat="1" applyFont="1" applyFill="1" applyBorder="1" applyAlignment="1" applyProtection="1">
      <alignment horizontal="center" vertical="center" wrapText="1"/>
    </xf>
    <xf numFmtId="49" fontId="10" fillId="2" borderId="34" xfId="0" applyNumberFormat="1" applyFont="1" applyFill="1" applyBorder="1" applyAlignment="1" applyProtection="1">
      <alignment horizontal="center" vertical="center" wrapText="1"/>
    </xf>
    <xf numFmtId="14" fontId="0" fillId="2" borderId="3" xfId="0" applyNumberFormat="1" applyFill="1" applyBorder="1" applyAlignment="1" applyProtection="1">
      <alignment horizontal="center"/>
    </xf>
    <xf numFmtId="14" fontId="0" fillId="2" borderId="5" xfId="0" applyNumberFormat="1" applyFill="1" applyBorder="1" applyAlignment="1" applyProtection="1">
      <alignment horizontal="center"/>
    </xf>
    <xf numFmtId="0" fontId="8" fillId="2" borderId="0" xfId="0" applyFont="1" applyFill="1" applyAlignment="1" applyProtection="1">
      <alignment horizontal="left"/>
    </xf>
    <xf numFmtId="0" fontId="19" fillId="0" borderId="0" xfId="0" applyFont="1" applyAlignment="1">
      <alignment horizontal="left" vertical="top" wrapText="1"/>
    </xf>
    <xf numFmtId="0" fontId="19" fillId="0" borderId="0" xfId="0" applyFont="1" applyBorder="1" applyAlignment="1">
      <alignment horizontal="left" vertical="top" wrapText="1"/>
    </xf>
  </cellXfs>
  <cellStyles count="3">
    <cellStyle name="Link" xfId="2" builtinId="8"/>
    <cellStyle name="Normal" xfId="0" builtinId="0"/>
    <cellStyle name="Valuta" xfId="1" builtinId="4"/>
  </cellStyles>
  <dxfs count="78">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font>
    </dxf>
    <dxf>
      <font>
        <color theme="0"/>
      </font>
    </dxf>
    <dxf>
      <font>
        <color theme="0"/>
      </font>
    </dxf>
    <dxf>
      <font>
        <color theme="0"/>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font>
    </dxf>
    <dxf>
      <font>
        <color theme="1"/>
      </font>
    </dxf>
    <dxf>
      <font>
        <color theme="1"/>
      </font>
    </dxf>
    <dxf>
      <font>
        <color theme="1"/>
      </font>
    </dxf>
    <dxf>
      <font>
        <color theme="1"/>
      </font>
    </dxf>
    <dxf>
      <font>
        <color theme="3"/>
      </font>
    </dxf>
    <dxf>
      <font>
        <strike val="0"/>
        <color theme="0"/>
      </font>
    </dxf>
    <dxf>
      <font>
        <color theme="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157429367706391E-2"/>
          <c:y val="0.1037670644955644"/>
          <c:w val="0.93296011063942497"/>
          <c:h val="0.78240540830068861"/>
        </c:manualLayout>
      </c:layout>
      <c:lineChart>
        <c:grouping val="standard"/>
        <c:varyColors val="0"/>
        <c:ser>
          <c:idx val="0"/>
          <c:order val="0"/>
          <c:tx>
            <c:strRef>
              <c:f>Graf!$B$9</c:f>
              <c:strCache>
                <c:ptCount val="1"/>
                <c:pt idx="0">
                  <c:v> Klassens rigtigheds %</c:v>
                </c:pt>
              </c:strCache>
            </c:strRef>
          </c:tx>
          <c:marker>
            <c:symbol val="none"/>
          </c:marker>
          <c:val>
            <c:numRef>
              <c:f>Graf!$C$9:$S$9</c:f>
              <c:numCache>
                <c:formatCode>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ser>
          <c:idx val="1"/>
          <c:order val="1"/>
          <c:tx>
            <c:strRef>
              <c:f>Graf!$B$10</c:f>
              <c:strCache>
                <c:ptCount val="1"/>
                <c:pt idx="0">
                  <c:v>#I/T</c:v>
                </c:pt>
              </c:strCache>
            </c:strRef>
          </c:tx>
          <c:marker>
            <c:symbol val="none"/>
          </c:marker>
          <c:val>
            <c:numRef>
              <c:f>Graf!$C$10:$S$10</c:f>
              <c:numCache>
                <c:formatCode>0.0</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val>
          <c:smooth val="0"/>
        </c:ser>
        <c:dLbls>
          <c:showLegendKey val="0"/>
          <c:showVal val="0"/>
          <c:showCatName val="0"/>
          <c:showSerName val="0"/>
          <c:showPercent val="0"/>
          <c:showBubbleSize val="0"/>
        </c:dLbls>
        <c:smooth val="0"/>
        <c:axId val="290526528"/>
        <c:axId val="290527088"/>
      </c:lineChart>
      <c:catAx>
        <c:axId val="290526528"/>
        <c:scaling>
          <c:orientation val="minMax"/>
        </c:scaling>
        <c:delete val="0"/>
        <c:axPos val="b"/>
        <c:majorTickMark val="out"/>
        <c:minorTickMark val="none"/>
        <c:tickLblPos val="nextTo"/>
        <c:crossAx val="290527088"/>
        <c:crosses val="autoZero"/>
        <c:auto val="1"/>
        <c:lblAlgn val="ctr"/>
        <c:lblOffset val="100"/>
        <c:noMultiLvlLbl val="0"/>
      </c:catAx>
      <c:valAx>
        <c:axId val="290527088"/>
        <c:scaling>
          <c:orientation val="minMax"/>
          <c:max val="100"/>
          <c:min val="0"/>
        </c:scaling>
        <c:delete val="0"/>
        <c:axPos val="l"/>
        <c:majorGridlines/>
        <c:numFmt formatCode="0.0" sourceLinked="1"/>
        <c:majorTickMark val="out"/>
        <c:minorTickMark val="none"/>
        <c:tickLblPos val="nextTo"/>
        <c:crossAx val="290526528"/>
        <c:crosses val="autoZero"/>
        <c:crossBetween val="between"/>
        <c:majorUnit val="20"/>
        <c:minorUnit val="5"/>
      </c:valAx>
    </c:plotArea>
    <c:legend>
      <c:legendPos val="t"/>
      <c:legendEntry>
        <c:idx val="0"/>
        <c:txPr>
          <a:bodyPr/>
          <a:lstStyle/>
          <a:p>
            <a:pPr>
              <a:defRPr sz="1400"/>
            </a:pPr>
            <a:endParaRPr lang="da-DK"/>
          </a:p>
        </c:txPr>
      </c:legendEntry>
      <c:legendEntry>
        <c:idx val="1"/>
        <c:txPr>
          <a:bodyPr/>
          <a:lstStyle/>
          <a:p>
            <a:pPr>
              <a:defRPr sz="1400"/>
            </a:pPr>
            <a:endParaRPr lang="da-DK"/>
          </a:p>
        </c:txPr>
      </c:legendEntry>
      <c:layout>
        <c:manualLayout>
          <c:xMode val="edge"/>
          <c:yMode val="edge"/>
          <c:x val="5.6047429558397879E-2"/>
          <c:y val="2.4691353224194967E-2"/>
          <c:w val="0.92308186450271223"/>
          <c:h val="5.6590054128501197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1104900</xdr:colOff>
      <xdr:row>13</xdr:row>
      <xdr:rowOff>161924</xdr:rowOff>
    </xdr:from>
    <xdr:to>
      <xdr:col>20</xdr:col>
      <xdr:colOff>38100</xdr:colOff>
      <xdr:row>40</xdr:row>
      <xdr:rowOff>161925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au.dk/pir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F30"/>
  <sheetViews>
    <sheetView tabSelected="1" workbookViewId="0"/>
  </sheetViews>
  <sheetFormatPr defaultRowHeight="15" x14ac:dyDescent="0.25"/>
  <cols>
    <col min="1" max="1" width="5.85546875" customWidth="1"/>
    <col min="2" max="2" width="93.28515625" customWidth="1"/>
  </cols>
  <sheetData>
    <row r="1" spans="1:6" x14ac:dyDescent="0.25">
      <c r="A1" s="25"/>
      <c r="B1" s="25"/>
      <c r="C1" s="25"/>
      <c r="D1" s="25"/>
      <c r="E1" s="25"/>
      <c r="F1" s="25"/>
    </row>
    <row r="2" spans="1:6" ht="18.75" x14ac:dyDescent="0.3">
      <c r="A2" s="25"/>
      <c r="B2" s="57" t="s">
        <v>112</v>
      </c>
      <c r="C2" s="25"/>
      <c r="D2" s="25"/>
      <c r="E2" s="25"/>
      <c r="F2" s="25"/>
    </row>
    <row r="3" spans="1:6" ht="9" customHeight="1" x14ac:dyDescent="0.25">
      <c r="A3" s="25"/>
      <c r="B3" s="25"/>
      <c r="C3" s="25"/>
      <c r="D3" s="25"/>
      <c r="E3" s="25"/>
      <c r="F3" s="25"/>
    </row>
    <row r="4" spans="1:6" ht="33.75" customHeight="1" x14ac:dyDescent="0.25">
      <c r="A4" s="25"/>
      <c r="B4" s="58" t="s">
        <v>113</v>
      </c>
      <c r="C4" s="25"/>
      <c r="D4" s="25"/>
      <c r="E4" s="25"/>
      <c r="F4" s="25"/>
    </row>
    <row r="5" spans="1:6" ht="9" customHeight="1" x14ac:dyDescent="0.25">
      <c r="A5" s="25"/>
      <c r="B5" s="25"/>
      <c r="C5" s="25"/>
      <c r="D5" s="25"/>
      <c r="E5" s="25"/>
      <c r="F5" s="25"/>
    </row>
    <row r="6" spans="1:6" ht="15" customHeight="1" x14ac:dyDescent="0.25">
      <c r="A6" s="25"/>
      <c r="B6" s="25" t="s">
        <v>162</v>
      </c>
      <c r="C6" s="25"/>
      <c r="D6" s="25"/>
      <c r="E6" s="25"/>
      <c r="F6" s="25"/>
    </row>
    <row r="7" spans="1:6" x14ac:dyDescent="0.25">
      <c r="A7" s="25"/>
      <c r="B7" s="130" t="s">
        <v>161</v>
      </c>
      <c r="C7" s="25"/>
      <c r="D7" s="25"/>
      <c r="E7" s="25"/>
      <c r="F7" s="25"/>
    </row>
    <row r="8" spans="1:6" ht="9" customHeight="1" x14ac:dyDescent="0.25">
      <c r="A8" s="25"/>
      <c r="B8" s="25"/>
      <c r="C8" s="25"/>
      <c r="D8" s="25"/>
      <c r="E8" s="25"/>
      <c r="F8" s="25"/>
    </row>
    <row r="9" spans="1:6" ht="48.75" customHeight="1" x14ac:dyDescent="0.25">
      <c r="A9" s="25"/>
      <c r="B9" s="58" t="s">
        <v>210</v>
      </c>
      <c r="C9" s="25"/>
      <c r="D9" s="25"/>
      <c r="E9" s="25"/>
      <c r="F9" s="25"/>
    </row>
    <row r="10" spans="1:6" ht="9" customHeight="1" x14ac:dyDescent="0.25">
      <c r="A10" s="25"/>
      <c r="B10" s="25"/>
      <c r="C10" s="25"/>
      <c r="D10" s="25"/>
      <c r="E10" s="25"/>
      <c r="F10" s="25"/>
    </row>
    <row r="11" spans="1:6" x14ac:dyDescent="0.25">
      <c r="A11" s="25"/>
      <c r="B11" s="25" t="s">
        <v>114</v>
      </c>
      <c r="C11" s="25"/>
      <c r="D11" s="25"/>
      <c r="E11" s="25"/>
      <c r="F11" s="25"/>
    </row>
    <row r="12" spans="1:6" ht="9" customHeight="1" x14ac:dyDescent="0.25">
      <c r="A12" s="25"/>
      <c r="B12" s="25"/>
      <c r="C12" s="25"/>
      <c r="D12" s="25"/>
      <c r="E12" s="25"/>
      <c r="F12" s="25"/>
    </row>
    <row r="13" spans="1:6" ht="60" x14ac:dyDescent="0.25">
      <c r="A13" s="25"/>
      <c r="B13" s="58" t="s">
        <v>148</v>
      </c>
      <c r="C13" s="25"/>
      <c r="D13" s="25"/>
      <c r="E13" s="25"/>
      <c r="F13" s="25"/>
    </row>
    <row r="14" spans="1:6" ht="9" customHeight="1" x14ac:dyDescent="0.25">
      <c r="A14" s="25"/>
      <c r="B14" s="25"/>
      <c r="C14" s="25"/>
      <c r="D14" s="25"/>
      <c r="E14" s="25"/>
      <c r="F14" s="25"/>
    </row>
    <row r="15" spans="1:6" x14ac:dyDescent="0.25">
      <c r="A15" s="25"/>
      <c r="B15" s="25" t="s">
        <v>149</v>
      </c>
      <c r="C15" s="25"/>
      <c r="D15" s="25"/>
      <c r="E15" s="25"/>
      <c r="F15" s="25"/>
    </row>
    <row r="16" spans="1:6" x14ac:dyDescent="0.25">
      <c r="A16" s="25"/>
      <c r="B16" s="25" t="s">
        <v>150</v>
      </c>
      <c r="C16" s="25"/>
      <c r="D16" s="25"/>
      <c r="E16" s="25"/>
      <c r="F16" s="25"/>
    </row>
    <row r="17" spans="1:6" x14ac:dyDescent="0.25">
      <c r="A17" s="25"/>
      <c r="B17" s="25" t="s">
        <v>151</v>
      </c>
      <c r="C17" s="25"/>
      <c r="D17" s="25"/>
      <c r="E17" s="25"/>
      <c r="F17" s="25"/>
    </row>
    <row r="18" spans="1:6" ht="9" customHeight="1" x14ac:dyDescent="0.25">
      <c r="A18" s="25"/>
      <c r="B18" s="25"/>
      <c r="C18" s="25"/>
      <c r="D18" s="25"/>
      <c r="E18" s="25"/>
      <c r="F18" s="25"/>
    </row>
    <row r="19" spans="1:6" ht="45" x14ac:dyDescent="0.25">
      <c r="A19" s="25"/>
      <c r="B19" s="58" t="s">
        <v>158</v>
      </c>
      <c r="C19" s="25"/>
      <c r="D19" s="25"/>
      <c r="E19" s="25"/>
      <c r="F19" s="25"/>
    </row>
    <row r="20" spans="1:6" x14ac:dyDescent="0.25">
      <c r="A20" s="25"/>
      <c r="B20" s="25"/>
      <c r="C20" s="25"/>
      <c r="D20" s="25"/>
      <c r="E20" s="25"/>
      <c r="F20" s="25"/>
    </row>
    <row r="21" spans="1:6" ht="168" customHeight="1" x14ac:dyDescent="0.25">
      <c r="A21" s="25"/>
      <c r="B21" s="58" t="s">
        <v>159</v>
      </c>
      <c r="C21" s="25"/>
      <c r="D21" s="25"/>
      <c r="E21" s="25"/>
      <c r="F21" s="25"/>
    </row>
    <row r="22" spans="1:6" x14ac:dyDescent="0.25">
      <c r="A22" s="25"/>
      <c r="B22" s="25"/>
      <c r="C22" s="25"/>
      <c r="D22" s="25"/>
      <c r="E22" s="25"/>
      <c r="F22" s="25"/>
    </row>
    <row r="23" spans="1:6" x14ac:dyDescent="0.25">
      <c r="A23" s="25"/>
      <c r="B23" s="25" t="s">
        <v>160</v>
      </c>
      <c r="C23" s="25"/>
      <c r="D23" s="25"/>
      <c r="E23" s="25"/>
      <c r="F23" s="25"/>
    </row>
    <row r="24" spans="1:6" x14ac:dyDescent="0.25">
      <c r="A24" s="25"/>
      <c r="B24" s="25"/>
      <c r="C24" s="25"/>
      <c r="D24" s="25"/>
      <c r="E24" s="25"/>
      <c r="F24" s="25"/>
    </row>
    <row r="25" spans="1:6" ht="45" x14ac:dyDescent="0.25">
      <c r="A25" s="25"/>
      <c r="B25" s="58" t="s">
        <v>211</v>
      </c>
      <c r="C25" s="25"/>
      <c r="D25" s="25"/>
      <c r="E25" s="25"/>
      <c r="F25" s="25"/>
    </row>
    <row r="26" spans="1:6" x14ac:dyDescent="0.25">
      <c r="A26" s="25"/>
      <c r="B26" s="25"/>
      <c r="C26" s="25"/>
      <c r="D26" s="25"/>
      <c r="E26" s="25"/>
      <c r="F26" s="25"/>
    </row>
    <row r="27" spans="1:6" x14ac:dyDescent="0.25">
      <c r="A27" s="25"/>
      <c r="B27" s="25" t="s">
        <v>139</v>
      </c>
      <c r="C27" s="25"/>
      <c r="D27" s="25"/>
      <c r="E27" s="25"/>
      <c r="F27" s="25"/>
    </row>
    <row r="28" spans="1:6" x14ac:dyDescent="0.25">
      <c r="A28" s="25"/>
      <c r="B28" s="25" t="s">
        <v>140</v>
      </c>
      <c r="C28" s="25"/>
      <c r="D28" s="25"/>
      <c r="E28" s="25"/>
      <c r="F28" s="25"/>
    </row>
    <row r="29" spans="1:6" x14ac:dyDescent="0.25">
      <c r="A29" s="25"/>
      <c r="B29" s="25"/>
    </row>
    <row r="30" spans="1:6" x14ac:dyDescent="0.25">
      <c r="B30" s="59" t="s">
        <v>209</v>
      </c>
    </row>
  </sheetData>
  <sheetProtection algorithmName="SHA-512" hashValue="Z/x0OOEfUJVAy1L4ELbYpeLjiIBYhmA88y4+xT7RnqZpc6xVBHEh7Db1dAlf3aIMuAh+YtrBvAN6SzxeJSMJMA==" saltValue="VPv/Y8WCU5D18QcHyNnPug==" spinCount="100000" sheet="1" objects="1" scenarios="1"/>
  <hyperlinks>
    <hyperlink ref="B7"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J25"/>
  <sheetViews>
    <sheetView workbookViewId="0">
      <selection activeCell="J20" sqref="J20"/>
    </sheetView>
  </sheetViews>
  <sheetFormatPr defaultRowHeight="15" x14ac:dyDescent="0.25"/>
  <cols>
    <col min="1" max="1" width="18.140625" customWidth="1"/>
    <col min="3" max="3" width="13.28515625" bestFit="1" customWidth="1"/>
    <col min="4" max="4" width="12.140625" bestFit="1" customWidth="1"/>
    <col min="7" max="7" width="16.5703125" customWidth="1"/>
    <col min="9" max="9" width="10.28515625" bestFit="1" customWidth="1"/>
    <col min="10" max="10" width="9.28515625" bestFit="1" customWidth="1"/>
  </cols>
  <sheetData>
    <row r="1" spans="1:10" x14ac:dyDescent="0.25">
      <c r="A1" s="11" t="s">
        <v>87</v>
      </c>
    </row>
    <row r="2" spans="1:10" x14ac:dyDescent="0.25">
      <c r="A2" s="3" t="s">
        <v>75</v>
      </c>
      <c r="B2" s="4" t="s">
        <v>41</v>
      </c>
      <c r="C2" s="3" t="s">
        <v>76</v>
      </c>
      <c r="D2" s="3" t="s">
        <v>77</v>
      </c>
      <c r="G2" s="3" t="s">
        <v>23</v>
      </c>
      <c r="H2" s="9" t="s">
        <v>78</v>
      </c>
      <c r="I2" s="3" t="s">
        <v>33</v>
      </c>
      <c r="J2" s="3" t="s">
        <v>34</v>
      </c>
    </row>
    <row r="3" spans="1:10" x14ac:dyDescent="0.25">
      <c r="A3" t="s">
        <v>40</v>
      </c>
      <c r="B3" s="4"/>
      <c r="C3" s="8">
        <v>60.5</v>
      </c>
      <c r="D3" s="8">
        <v>80.5</v>
      </c>
      <c r="G3" t="s">
        <v>1</v>
      </c>
      <c r="H3" s="4"/>
      <c r="I3" s="8">
        <v>66.3</v>
      </c>
      <c r="J3" s="8">
        <v>57</v>
      </c>
    </row>
    <row r="4" spans="1:10" x14ac:dyDescent="0.25">
      <c r="A4" t="s">
        <v>42</v>
      </c>
      <c r="B4" s="4"/>
      <c r="C4" s="8">
        <v>40.1</v>
      </c>
      <c r="D4" s="8">
        <v>53.5</v>
      </c>
      <c r="G4" t="s">
        <v>2</v>
      </c>
      <c r="H4" s="4"/>
      <c r="I4" s="8">
        <v>79</v>
      </c>
      <c r="J4" s="8">
        <v>91.5</v>
      </c>
    </row>
    <row r="5" spans="1:10" x14ac:dyDescent="0.25">
      <c r="A5" t="s">
        <v>43</v>
      </c>
      <c r="B5" s="4"/>
      <c r="C5" s="8">
        <v>68.2</v>
      </c>
      <c r="D5" s="8">
        <v>87.3</v>
      </c>
      <c r="G5" t="s">
        <v>3</v>
      </c>
      <c r="H5" s="4"/>
      <c r="I5" s="8">
        <v>60.1</v>
      </c>
      <c r="J5" s="8">
        <v>72.900000000000006</v>
      </c>
    </row>
    <row r="6" spans="1:10" x14ac:dyDescent="0.25">
      <c r="A6" t="s">
        <v>44</v>
      </c>
      <c r="B6" s="4">
        <v>1</v>
      </c>
      <c r="C6" s="8">
        <v>52.8</v>
      </c>
      <c r="D6" s="8">
        <v>78.8</v>
      </c>
      <c r="G6" t="s">
        <v>4</v>
      </c>
      <c r="H6" s="4"/>
      <c r="I6" s="8">
        <v>55.6</v>
      </c>
      <c r="J6" s="8">
        <v>64.599999999999994</v>
      </c>
    </row>
    <row r="7" spans="1:10" x14ac:dyDescent="0.25">
      <c r="A7" t="s">
        <v>45</v>
      </c>
      <c r="B7" s="4">
        <v>3</v>
      </c>
      <c r="C7" s="8">
        <v>69.7</v>
      </c>
      <c r="D7" s="8">
        <v>82.1</v>
      </c>
      <c r="G7" t="s">
        <v>5</v>
      </c>
      <c r="H7" s="4"/>
      <c r="I7" s="8">
        <v>67.2</v>
      </c>
      <c r="J7" s="8">
        <v>82.7</v>
      </c>
    </row>
    <row r="8" spans="1:10" x14ac:dyDescent="0.25">
      <c r="A8" t="s">
        <v>46</v>
      </c>
      <c r="B8" s="4"/>
      <c r="C8" s="8">
        <v>54.7</v>
      </c>
      <c r="D8" s="8">
        <v>69.5</v>
      </c>
      <c r="G8" t="s">
        <v>6</v>
      </c>
      <c r="H8" s="4"/>
      <c r="I8" s="8">
        <v>66.8</v>
      </c>
      <c r="J8" s="8">
        <v>76.8</v>
      </c>
    </row>
    <row r="9" spans="1:10" x14ac:dyDescent="0.25">
      <c r="A9" t="s">
        <v>49</v>
      </c>
      <c r="B9" s="4">
        <v>2</v>
      </c>
      <c r="C9" s="8">
        <v>72.8</v>
      </c>
      <c r="D9" s="8">
        <v>89.6</v>
      </c>
      <c r="G9" t="s">
        <v>7</v>
      </c>
      <c r="H9" s="4"/>
      <c r="I9" s="8">
        <v>77</v>
      </c>
      <c r="J9" s="8">
        <v>86.8</v>
      </c>
    </row>
    <row r="10" spans="1:10" x14ac:dyDescent="0.25">
      <c r="A10" t="s">
        <v>80</v>
      </c>
      <c r="B10" s="4"/>
      <c r="C10" s="8">
        <f>C11+20.8</f>
        <v>54.5</v>
      </c>
      <c r="D10" s="8">
        <f>D11+33</f>
        <v>72.400000000000006</v>
      </c>
      <c r="G10" t="s">
        <v>24</v>
      </c>
      <c r="H10" s="4"/>
      <c r="I10" s="8">
        <v>71.2</v>
      </c>
      <c r="J10" s="8">
        <v>82.9</v>
      </c>
    </row>
    <row r="11" spans="1:10" x14ac:dyDescent="0.25">
      <c r="A11" t="s">
        <v>81</v>
      </c>
      <c r="B11" s="4"/>
      <c r="C11" s="8">
        <v>33.700000000000003</v>
      </c>
      <c r="D11" s="8">
        <v>39.4</v>
      </c>
      <c r="G11" t="s">
        <v>25</v>
      </c>
      <c r="H11" s="4"/>
      <c r="I11" s="8">
        <v>40.799999999999997</v>
      </c>
      <c r="J11" s="8">
        <v>53.1</v>
      </c>
    </row>
    <row r="12" spans="1:10" x14ac:dyDescent="0.25">
      <c r="A12" t="s">
        <v>53</v>
      </c>
      <c r="B12" s="4">
        <v>4</v>
      </c>
      <c r="C12" s="8">
        <v>41.8</v>
      </c>
      <c r="D12" s="8">
        <v>59.4</v>
      </c>
      <c r="G12" t="s">
        <v>9</v>
      </c>
      <c r="H12" s="4"/>
      <c r="I12" s="8">
        <v>69.099999999999994</v>
      </c>
      <c r="J12" s="8">
        <v>80.599999999999994</v>
      </c>
    </row>
    <row r="13" spans="1:10" x14ac:dyDescent="0.25">
      <c r="A13" t="s">
        <v>82</v>
      </c>
      <c r="B13" s="4"/>
      <c r="C13" s="8">
        <f>C14+21.2</f>
        <v>64.5</v>
      </c>
      <c r="D13" s="8">
        <f>D14+26.7</f>
        <v>85</v>
      </c>
      <c r="G13" t="s">
        <v>10</v>
      </c>
      <c r="H13" s="4"/>
      <c r="I13" s="8">
        <v>69.8</v>
      </c>
      <c r="J13" s="8">
        <v>79.400000000000006</v>
      </c>
    </row>
    <row r="14" spans="1:10" x14ac:dyDescent="0.25">
      <c r="A14" t="s">
        <v>83</v>
      </c>
      <c r="B14" s="4"/>
      <c r="C14" s="8">
        <f>C15+15.8</f>
        <v>43.3</v>
      </c>
      <c r="D14" s="8">
        <f>D15+21.5</f>
        <v>58.3</v>
      </c>
      <c r="G14" t="s">
        <v>26</v>
      </c>
      <c r="H14" s="4"/>
      <c r="I14" s="8">
        <v>59.7</v>
      </c>
      <c r="J14" s="8">
        <v>69.5</v>
      </c>
    </row>
    <row r="15" spans="1:10" x14ac:dyDescent="0.25">
      <c r="A15" t="s">
        <v>84</v>
      </c>
      <c r="B15" s="4"/>
      <c r="C15" s="8">
        <v>27.5</v>
      </c>
      <c r="D15" s="8">
        <v>36.799999999999997</v>
      </c>
      <c r="G15" t="s">
        <v>27</v>
      </c>
      <c r="H15" s="4"/>
      <c r="I15" s="8">
        <v>31.3</v>
      </c>
      <c r="J15" s="8">
        <v>31.4</v>
      </c>
    </row>
    <row r="16" spans="1:10" x14ac:dyDescent="0.25">
      <c r="A16" t="s">
        <v>56</v>
      </c>
      <c r="B16" s="4"/>
      <c r="C16" s="8">
        <f>C17+41.9</f>
        <v>68.900000000000006</v>
      </c>
      <c r="D16" s="8">
        <f>D17+53.6</f>
        <v>87.2</v>
      </c>
      <c r="G16" t="s">
        <v>28</v>
      </c>
      <c r="H16" s="4"/>
      <c r="I16" s="8">
        <v>15.8</v>
      </c>
      <c r="J16" s="8">
        <v>15.5</v>
      </c>
    </row>
    <row r="17" spans="1:10" x14ac:dyDescent="0.25">
      <c r="A17" t="s">
        <v>57</v>
      </c>
      <c r="B17" s="4"/>
      <c r="C17" s="8">
        <v>27</v>
      </c>
      <c r="D17" s="8">
        <v>33.6</v>
      </c>
      <c r="G17" t="s">
        <v>29</v>
      </c>
      <c r="H17" s="4"/>
      <c r="I17" s="8">
        <v>65.7</v>
      </c>
      <c r="J17" s="8">
        <v>85.3</v>
      </c>
    </row>
    <row r="18" spans="1:10" x14ac:dyDescent="0.25">
      <c r="A18" t="s">
        <v>66</v>
      </c>
      <c r="B18" s="4">
        <v>2</v>
      </c>
      <c r="C18" s="8">
        <v>54.7</v>
      </c>
      <c r="D18" s="8">
        <v>58</v>
      </c>
      <c r="G18" t="s">
        <v>30</v>
      </c>
      <c r="H18" s="4"/>
      <c r="I18" s="8">
        <v>32.4</v>
      </c>
      <c r="J18" s="8">
        <v>49.2</v>
      </c>
    </row>
    <row r="19" spans="1:10" ht="15.75" thickBot="1" x14ac:dyDescent="0.3">
      <c r="A19" t="s">
        <v>67</v>
      </c>
      <c r="B19" s="4">
        <v>3</v>
      </c>
      <c r="C19" s="8">
        <v>51.8</v>
      </c>
      <c r="D19" s="8">
        <v>45.6</v>
      </c>
      <c r="G19" s="1" t="s">
        <v>231</v>
      </c>
      <c r="H19" s="4"/>
      <c r="I19" s="2">
        <f>SUM(I3:I18)/16</f>
        <v>57.987499999999997</v>
      </c>
      <c r="J19" s="2">
        <v>67.5</v>
      </c>
    </row>
    <row r="20" spans="1:10" ht="16.5" thickTop="1" thickBot="1" x14ac:dyDescent="0.3">
      <c r="A20" s="1" t="s">
        <v>231</v>
      </c>
      <c r="B20" s="4"/>
      <c r="C20" s="2">
        <f>SUM(C4:C19)/15</f>
        <v>55.066666666666656</v>
      </c>
      <c r="D20" s="2">
        <v>65.7</v>
      </c>
    </row>
    <row r="21" spans="1:10" ht="15.75" thickTop="1" x14ac:dyDescent="0.25"/>
    <row r="23" spans="1:10" x14ac:dyDescent="0.25">
      <c r="A23" s="165" t="s">
        <v>232</v>
      </c>
    </row>
    <row r="25" spans="1:10" x14ac:dyDescent="0.25">
      <c r="A25" s="165" t="s">
        <v>109</v>
      </c>
    </row>
  </sheetData>
  <sheetProtection algorithmName="SHA-512" hashValue="izaX9uZZB/rJuCKrm1N4VSXOjUh5pMOjQOmps9d5ALqasFaYu6uGGIrW/ucBXB566xF3Mq1W62LpudGdPf4d9A==" saltValue="Lln0CukT9nQ5Kkaf6rPHiw==" spinCount="100000" sheet="1" objects="1" scenarios="1"/>
  <pageMargins left="0.51181102362204722" right="0.5118110236220472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J25"/>
  <sheetViews>
    <sheetView workbookViewId="0">
      <selection activeCell="J21" sqref="J21"/>
    </sheetView>
  </sheetViews>
  <sheetFormatPr defaultRowHeight="15" x14ac:dyDescent="0.25"/>
  <cols>
    <col min="1" max="1" width="17.7109375" bestFit="1" customWidth="1"/>
    <col min="3" max="3" width="13.28515625" bestFit="1" customWidth="1"/>
    <col min="4" max="4" width="12.140625" bestFit="1" customWidth="1"/>
    <col min="7" max="7" width="18.42578125" customWidth="1"/>
    <col min="9" max="9" width="13.28515625" bestFit="1" customWidth="1"/>
    <col min="10" max="10" width="12.140625" bestFit="1" customWidth="1"/>
  </cols>
  <sheetData>
    <row r="1" spans="1:10" x14ac:dyDescent="0.25">
      <c r="A1" s="11" t="s">
        <v>93</v>
      </c>
    </row>
    <row r="2" spans="1:10" x14ac:dyDescent="0.25">
      <c r="A2" s="3" t="s">
        <v>88</v>
      </c>
      <c r="B2" s="4" t="s">
        <v>41</v>
      </c>
      <c r="C2" s="3" t="s">
        <v>76</v>
      </c>
      <c r="D2" s="3" t="s">
        <v>77</v>
      </c>
      <c r="G2" s="3" t="s">
        <v>92</v>
      </c>
      <c r="H2" s="4" t="s">
        <v>41</v>
      </c>
      <c r="I2" s="3" t="s">
        <v>76</v>
      </c>
      <c r="J2" s="3" t="s">
        <v>77</v>
      </c>
    </row>
    <row r="3" spans="1:10" x14ac:dyDescent="0.25">
      <c r="A3" t="s">
        <v>40</v>
      </c>
      <c r="B3" s="4"/>
      <c r="C3" s="8">
        <v>81.5</v>
      </c>
      <c r="D3" s="8">
        <v>82.4</v>
      </c>
      <c r="G3" t="s">
        <v>40</v>
      </c>
      <c r="H3" s="4">
        <v>1</v>
      </c>
      <c r="I3" s="8">
        <v>56.6</v>
      </c>
      <c r="J3" s="8">
        <v>77.400000000000006</v>
      </c>
    </row>
    <row r="4" spans="1:10" x14ac:dyDescent="0.25">
      <c r="A4" t="s">
        <v>42</v>
      </c>
      <c r="B4" s="4">
        <v>3</v>
      </c>
      <c r="C4" s="8">
        <v>61.3</v>
      </c>
      <c r="D4" s="8">
        <v>66.2</v>
      </c>
      <c r="G4" t="s">
        <v>42</v>
      </c>
      <c r="H4" s="4">
        <v>4</v>
      </c>
      <c r="I4" s="8">
        <v>66.3</v>
      </c>
      <c r="J4" s="8">
        <v>91.7</v>
      </c>
    </row>
    <row r="5" spans="1:10" x14ac:dyDescent="0.25">
      <c r="A5" t="s">
        <v>43</v>
      </c>
      <c r="B5" s="4"/>
      <c r="C5" s="8">
        <v>71.3</v>
      </c>
      <c r="D5" s="8">
        <v>85.4</v>
      </c>
      <c r="G5" t="s">
        <v>43</v>
      </c>
      <c r="H5" s="4">
        <v>2</v>
      </c>
      <c r="I5" s="8">
        <v>72.5</v>
      </c>
      <c r="J5" s="8">
        <v>84.6</v>
      </c>
    </row>
    <row r="6" spans="1:10" x14ac:dyDescent="0.25">
      <c r="A6" t="s">
        <v>64</v>
      </c>
      <c r="B6" s="4"/>
      <c r="C6" s="8">
        <f>C7+55.4</f>
        <v>78.400000000000006</v>
      </c>
      <c r="D6" s="8">
        <f>D7+63</f>
        <v>86.2</v>
      </c>
      <c r="G6" t="s">
        <v>44</v>
      </c>
      <c r="H6" s="4">
        <v>3</v>
      </c>
      <c r="I6" s="8">
        <v>60.1</v>
      </c>
      <c r="J6" s="8">
        <v>77.900000000000006</v>
      </c>
    </row>
    <row r="7" spans="1:10" x14ac:dyDescent="0.25">
      <c r="A7" t="s">
        <v>65</v>
      </c>
      <c r="B7" s="4"/>
      <c r="C7" s="8">
        <v>23</v>
      </c>
      <c r="D7" s="8">
        <v>23.2</v>
      </c>
      <c r="G7" t="s">
        <v>45</v>
      </c>
      <c r="H7" s="4"/>
      <c r="I7" s="8">
        <v>53.2</v>
      </c>
      <c r="J7" s="8">
        <v>56.2</v>
      </c>
    </row>
    <row r="8" spans="1:10" x14ac:dyDescent="0.25">
      <c r="A8" t="s">
        <v>45</v>
      </c>
      <c r="B8" s="4">
        <v>4</v>
      </c>
      <c r="C8" s="8">
        <v>84</v>
      </c>
      <c r="D8" s="8">
        <v>93.1</v>
      </c>
      <c r="G8" t="s">
        <v>46</v>
      </c>
      <c r="H8" s="4">
        <v>2</v>
      </c>
      <c r="I8" s="8">
        <v>77.8</v>
      </c>
      <c r="J8" s="8">
        <v>91.6</v>
      </c>
    </row>
    <row r="9" spans="1:10" x14ac:dyDescent="0.25">
      <c r="A9" t="s">
        <v>46</v>
      </c>
      <c r="B9" s="4">
        <v>2</v>
      </c>
      <c r="C9" s="8">
        <v>86.3</v>
      </c>
      <c r="D9" s="8">
        <v>94.9</v>
      </c>
      <c r="G9" t="s">
        <v>50</v>
      </c>
      <c r="H9" s="4"/>
      <c r="I9" s="8">
        <f>I10+11.2</f>
        <v>32.599999999999994</v>
      </c>
      <c r="J9" s="8">
        <f>J10+9.7</f>
        <v>42.2</v>
      </c>
    </row>
    <row r="10" spans="1:10" x14ac:dyDescent="0.25">
      <c r="A10" t="s">
        <v>50</v>
      </c>
      <c r="B10" s="4"/>
      <c r="C10" s="8">
        <f>C11+13.7</f>
        <v>80.8</v>
      </c>
      <c r="D10" s="8">
        <f>D11+19.6</f>
        <v>85.1</v>
      </c>
      <c r="G10" t="s">
        <v>51</v>
      </c>
      <c r="H10" s="4"/>
      <c r="I10" s="8">
        <v>21.4</v>
      </c>
      <c r="J10" s="8">
        <v>32.5</v>
      </c>
    </row>
    <row r="11" spans="1:10" x14ac:dyDescent="0.25">
      <c r="A11" t="s">
        <v>51</v>
      </c>
      <c r="B11" s="4"/>
      <c r="C11" s="8">
        <f>C12+21.6</f>
        <v>67.099999999999994</v>
      </c>
      <c r="D11" s="8">
        <f>D12+27.9</f>
        <v>65.5</v>
      </c>
      <c r="G11" t="s">
        <v>111</v>
      </c>
      <c r="H11" s="4"/>
    </row>
    <row r="12" spans="1:10" x14ac:dyDescent="0.25">
      <c r="A12" t="s">
        <v>89</v>
      </c>
      <c r="B12" s="4"/>
      <c r="C12" s="8">
        <v>45.5</v>
      </c>
      <c r="D12" s="8">
        <v>37.6</v>
      </c>
      <c r="G12" t="s">
        <v>53</v>
      </c>
      <c r="H12" s="4"/>
      <c r="I12" s="8">
        <v>54.6</v>
      </c>
      <c r="J12" s="8">
        <v>58.7</v>
      </c>
    </row>
    <row r="13" spans="1:10" x14ac:dyDescent="0.25">
      <c r="A13" t="s">
        <v>80</v>
      </c>
      <c r="B13" s="4"/>
      <c r="C13" s="8">
        <f>C14+31.6</f>
        <v>82.4</v>
      </c>
      <c r="D13" s="8">
        <f>D14+50</f>
        <v>93.1</v>
      </c>
      <c r="G13" t="s">
        <v>54</v>
      </c>
      <c r="H13" s="4"/>
      <c r="I13" s="8">
        <v>51.2</v>
      </c>
      <c r="J13" s="8">
        <v>55.4</v>
      </c>
    </row>
    <row r="14" spans="1:10" x14ac:dyDescent="0.25">
      <c r="A14" t="s">
        <v>81</v>
      </c>
      <c r="B14" s="4"/>
      <c r="C14" s="8">
        <v>50.8</v>
      </c>
      <c r="D14" s="8">
        <v>43.1</v>
      </c>
      <c r="G14" t="s">
        <v>55</v>
      </c>
      <c r="H14" s="4"/>
      <c r="I14" s="8">
        <v>29.3</v>
      </c>
      <c r="J14" s="8">
        <v>46</v>
      </c>
    </row>
    <row r="15" spans="1:10" x14ac:dyDescent="0.25">
      <c r="A15" t="s">
        <v>90</v>
      </c>
      <c r="B15" s="4"/>
      <c r="C15" s="8">
        <f>C16+36.5</f>
        <v>69.7</v>
      </c>
      <c r="D15" s="8">
        <f>D16+34</f>
        <v>79.400000000000006</v>
      </c>
      <c r="G15" t="s">
        <v>66</v>
      </c>
      <c r="H15" s="4"/>
      <c r="I15" s="8">
        <v>25.8</v>
      </c>
      <c r="J15" s="8">
        <v>31</v>
      </c>
    </row>
    <row r="16" spans="1:10" x14ac:dyDescent="0.25">
      <c r="A16" t="s">
        <v>91</v>
      </c>
      <c r="B16" s="4"/>
      <c r="C16" s="8">
        <v>33.200000000000003</v>
      </c>
      <c r="D16" s="8">
        <v>45.4</v>
      </c>
      <c r="G16" t="s">
        <v>67</v>
      </c>
      <c r="H16" s="4"/>
      <c r="I16" s="8">
        <v>23.2</v>
      </c>
      <c r="J16" s="8">
        <v>23.5</v>
      </c>
    </row>
    <row r="17" spans="1:10" x14ac:dyDescent="0.25">
      <c r="A17" t="s">
        <v>54</v>
      </c>
      <c r="B17" s="4">
        <v>1</v>
      </c>
      <c r="C17" s="8">
        <v>57.4</v>
      </c>
      <c r="D17" s="8">
        <v>76.3</v>
      </c>
      <c r="G17" t="s">
        <v>68</v>
      </c>
      <c r="H17" s="4">
        <v>4</v>
      </c>
      <c r="I17" s="8">
        <v>42.6</v>
      </c>
      <c r="J17" s="8">
        <v>51.1</v>
      </c>
    </row>
    <row r="18" spans="1:10" ht="15.75" thickBot="1" x14ac:dyDescent="0.3">
      <c r="A18" t="s">
        <v>55</v>
      </c>
      <c r="B18" s="4"/>
      <c r="C18" s="8">
        <v>47.5</v>
      </c>
      <c r="D18" s="8">
        <v>58.5</v>
      </c>
      <c r="G18" s="1" t="s">
        <v>231</v>
      </c>
      <c r="H18" s="4"/>
      <c r="I18" s="2">
        <f>SUM(I3:I17)/14</f>
        <v>47.657142857142858</v>
      </c>
      <c r="J18" s="2">
        <f>SUM(J3:J17)/14</f>
        <v>58.557142857142864</v>
      </c>
    </row>
    <row r="19" spans="1:10" ht="16.5" thickTop="1" thickBot="1" x14ac:dyDescent="0.3">
      <c r="A19" s="1" t="s">
        <v>231</v>
      </c>
      <c r="B19" s="4"/>
      <c r="C19" s="2">
        <f>SUM(C3:C18)/16</f>
        <v>63.762500000000003</v>
      </c>
      <c r="D19" s="2">
        <f>SUM(D3:D18)/16</f>
        <v>69.712500000000006</v>
      </c>
    </row>
    <row r="20" spans="1:10" ht="15.75" thickTop="1" x14ac:dyDescent="0.25"/>
    <row r="23" spans="1:10" x14ac:dyDescent="0.25">
      <c r="A23" s="165" t="s">
        <v>232</v>
      </c>
    </row>
    <row r="25" spans="1:10" x14ac:dyDescent="0.25">
      <c r="A25" s="165" t="s">
        <v>109</v>
      </c>
    </row>
  </sheetData>
  <sheetProtection algorithmName="SHA-512" hashValue="VWi6JWbVTBqfUrjoDBWhDDpy+YLwS9X20I9Li6Ipd5ptH2LwQ+gwGT23+BXvcNEibgXk/o1eN0wedXMGxqC2YQ==" saltValue="eDkvYdIH1oblO6ZfJsnukw==" spinCount="100000" sheet="1" objects="1" scenarios="1"/>
  <pageMargins left="0.51181102362204722" right="0.5118110236220472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I29"/>
  <sheetViews>
    <sheetView workbookViewId="0">
      <selection activeCell="A19" sqref="A19"/>
    </sheetView>
  </sheetViews>
  <sheetFormatPr defaultRowHeight="15" x14ac:dyDescent="0.25"/>
  <cols>
    <col min="1" max="1" width="18.28515625" bestFit="1" customWidth="1"/>
    <col min="2" max="2" width="8.5703125" style="4" customWidth="1"/>
    <col min="3" max="3" width="12.28515625" bestFit="1" customWidth="1"/>
    <col min="4" max="4" width="11.28515625" bestFit="1" customWidth="1"/>
    <col min="5" max="5" width="18.140625" customWidth="1"/>
    <col min="6" max="6" width="13.42578125" bestFit="1" customWidth="1"/>
    <col min="7" max="7" width="11.28515625" style="4" bestFit="1" customWidth="1"/>
    <col min="8" max="8" width="12.28515625" bestFit="1" customWidth="1"/>
    <col min="9" max="9" width="11.28515625" bestFit="1" customWidth="1"/>
  </cols>
  <sheetData>
    <row r="1" spans="1:9" x14ac:dyDescent="0.25">
      <c r="A1" s="11" t="s">
        <v>85</v>
      </c>
      <c r="F1" s="11" t="s">
        <v>86</v>
      </c>
    </row>
    <row r="2" spans="1:9" x14ac:dyDescent="0.25">
      <c r="A2" s="3" t="s">
        <v>36</v>
      </c>
      <c r="B2" s="4" t="s">
        <v>41</v>
      </c>
      <c r="C2" s="3" t="s">
        <v>38</v>
      </c>
      <c r="D2" s="3" t="s">
        <v>39</v>
      </c>
      <c r="F2" s="3" t="s">
        <v>37</v>
      </c>
      <c r="G2" s="9" t="s">
        <v>41</v>
      </c>
      <c r="H2" s="3" t="s">
        <v>38</v>
      </c>
      <c r="I2" s="3" t="s">
        <v>39</v>
      </c>
    </row>
    <row r="3" spans="1:9" x14ac:dyDescent="0.25">
      <c r="A3" t="s">
        <v>40</v>
      </c>
      <c r="B3" s="4">
        <v>2</v>
      </c>
      <c r="C3" s="8">
        <v>41.3</v>
      </c>
      <c r="D3" s="8">
        <v>53.7</v>
      </c>
      <c r="F3" t="s">
        <v>40</v>
      </c>
      <c r="G3" s="4">
        <v>4</v>
      </c>
      <c r="H3" s="8">
        <v>59.1</v>
      </c>
      <c r="I3" s="8">
        <v>75.8</v>
      </c>
    </row>
    <row r="4" spans="1:9" x14ac:dyDescent="0.25">
      <c r="A4" t="s">
        <v>42</v>
      </c>
      <c r="B4" s="4">
        <v>1</v>
      </c>
      <c r="C4" s="8">
        <v>78.5</v>
      </c>
      <c r="D4" s="8">
        <v>86.9</v>
      </c>
      <c r="F4" t="s">
        <v>42</v>
      </c>
      <c r="G4" s="4">
        <v>1</v>
      </c>
      <c r="H4" s="8">
        <v>54.6</v>
      </c>
      <c r="I4" s="8">
        <v>64</v>
      </c>
    </row>
    <row r="5" spans="1:9" x14ac:dyDescent="0.25">
      <c r="A5" t="s">
        <v>43</v>
      </c>
      <c r="B5" s="4">
        <v>3</v>
      </c>
      <c r="C5" s="8">
        <v>45</v>
      </c>
      <c r="D5" s="8">
        <v>38.299999999999997</v>
      </c>
      <c r="F5" t="s">
        <v>43</v>
      </c>
      <c r="H5" s="8">
        <v>62.8</v>
      </c>
      <c r="I5" s="8">
        <v>82</v>
      </c>
    </row>
    <row r="6" spans="1:9" x14ac:dyDescent="0.25">
      <c r="A6" t="s">
        <v>44</v>
      </c>
      <c r="B6" s="4">
        <v>4</v>
      </c>
      <c r="C6" s="8">
        <v>84.5</v>
      </c>
      <c r="D6" s="8">
        <v>90.9</v>
      </c>
      <c r="F6" t="s">
        <v>64</v>
      </c>
      <c r="H6" s="8">
        <f>H7+42.4</f>
        <v>66.8</v>
      </c>
      <c r="I6" s="8">
        <f>I7+53.1</f>
        <v>85.6</v>
      </c>
    </row>
    <row r="7" spans="1:9" x14ac:dyDescent="0.25">
      <c r="A7" t="s">
        <v>45</v>
      </c>
      <c r="B7" s="4">
        <v>1</v>
      </c>
      <c r="C7" s="8">
        <v>74.599999999999994</v>
      </c>
      <c r="D7" s="8">
        <v>89.1</v>
      </c>
      <c r="F7" t="s">
        <v>65</v>
      </c>
      <c r="H7" s="8">
        <v>24.4</v>
      </c>
      <c r="I7" s="8">
        <v>32.5</v>
      </c>
    </row>
    <row r="8" spans="1:9" x14ac:dyDescent="0.25">
      <c r="A8" t="s">
        <v>47</v>
      </c>
      <c r="C8" s="8">
        <f>C9+36.7</f>
        <v>62.6</v>
      </c>
      <c r="D8" s="8">
        <f>D9+40.2</f>
        <v>73</v>
      </c>
      <c r="F8" t="s">
        <v>45</v>
      </c>
      <c r="H8" s="8">
        <v>41.9</v>
      </c>
      <c r="I8" s="8">
        <v>57.5</v>
      </c>
    </row>
    <row r="9" spans="1:9" x14ac:dyDescent="0.25">
      <c r="A9" t="s">
        <v>48</v>
      </c>
      <c r="C9" s="8">
        <v>25.9</v>
      </c>
      <c r="D9" s="8">
        <v>32.799999999999997</v>
      </c>
      <c r="F9" t="s">
        <v>46</v>
      </c>
      <c r="G9" s="4">
        <v>1</v>
      </c>
      <c r="H9" s="8">
        <v>76.5</v>
      </c>
      <c r="I9" s="8">
        <v>80</v>
      </c>
    </row>
    <row r="10" spans="1:9" x14ac:dyDescent="0.25">
      <c r="A10" t="s">
        <v>50</v>
      </c>
      <c r="C10" s="8">
        <f>C11+32.2</f>
        <v>50.6</v>
      </c>
      <c r="D10" s="8">
        <f>D11+41.6</f>
        <v>67</v>
      </c>
      <c r="F10" t="s">
        <v>49</v>
      </c>
      <c r="H10" s="8">
        <v>41</v>
      </c>
      <c r="I10" s="8">
        <v>53.5</v>
      </c>
    </row>
    <row r="11" spans="1:9" x14ac:dyDescent="0.25">
      <c r="A11" t="s">
        <v>51</v>
      </c>
      <c r="C11" s="8">
        <v>18.399999999999999</v>
      </c>
      <c r="D11" s="8">
        <v>25.4</v>
      </c>
      <c r="F11" t="s">
        <v>52</v>
      </c>
      <c r="H11" s="8">
        <v>54</v>
      </c>
      <c r="I11" s="8">
        <v>69</v>
      </c>
    </row>
    <row r="12" spans="1:9" x14ac:dyDescent="0.25">
      <c r="A12" t="s">
        <v>62</v>
      </c>
      <c r="B12" s="7" t="s">
        <v>61</v>
      </c>
      <c r="C12" s="6" t="s">
        <v>59</v>
      </c>
      <c r="D12" s="6" t="s">
        <v>60</v>
      </c>
      <c r="F12" t="s">
        <v>53</v>
      </c>
      <c r="G12" s="4">
        <v>3</v>
      </c>
      <c r="H12" s="8">
        <v>44</v>
      </c>
      <c r="I12" s="8">
        <v>56.2</v>
      </c>
    </row>
    <row r="13" spans="1:9" x14ac:dyDescent="0.25">
      <c r="A13" t="s">
        <v>53</v>
      </c>
      <c r="B13" s="4">
        <v>2</v>
      </c>
      <c r="C13" s="8">
        <v>86</v>
      </c>
      <c r="D13" s="8">
        <v>95.9</v>
      </c>
      <c r="F13" t="s">
        <v>54</v>
      </c>
      <c r="H13" s="8">
        <v>43</v>
      </c>
      <c r="I13" s="8">
        <v>55</v>
      </c>
    </row>
    <row r="14" spans="1:9" x14ac:dyDescent="0.25">
      <c r="A14" t="s">
        <v>54</v>
      </c>
      <c r="B14" s="4">
        <v>4</v>
      </c>
      <c r="C14" s="8">
        <v>46.2</v>
      </c>
      <c r="D14" s="8">
        <v>57.8</v>
      </c>
      <c r="F14" t="s">
        <v>55</v>
      </c>
      <c r="H14" s="8">
        <v>49.2</v>
      </c>
      <c r="I14" s="8">
        <v>69.099999999999994</v>
      </c>
    </row>
    <row r="15" spans="1:9" x14ac:dyDescent="0.25">
      <c r="A15" t="s">
        <v>56</v>
      </c>
      <c r="C15" s="8">
        <f>C16+28.9</f>
        <v>56.599999999999994</v>
      </c>
      <c r="D15" s="8">
        <f>D16+42.9</f>
        <v>69.900000000000006</v>
      </c>
      <c r="F15" t="s">
        <v>66</v>
      </c>
      <c r="H15" s="8">
        <v>23.1</v>
      </c>
      <c r="I15" s="8">
        <v>25.2</v>
      </c>
    </row>
    <row r="16" spans="1:9" x14ac:dyDescent="0.25">
      <c r="A16" t="s">
        <v>57</v>
      </c>
      <c r="C16" s="8">
        <f>C17+22.2</f>
        <v>27.7</v>
      </c>
      <c r="D16" s="8">
        <f>D17+24.5</f>
        <v>27</v>
      </c>
      <c r="F16" t="s">
        <v>67</v>
      </c>
      <c r="G16" s="4">
        <v>3</v>
      </c>
      <c r="H16" s="8">
        <v>58.9</v>
      </c>
      <c r="I16" s="8">
        <v>80.7</v>
      </c>
    </row>
    <row r="17" spans="1:9" x14ac:dyDescent="0.25">
      <c r="A17" t="s">
        <v>58</v>
      </c>
      <c r="C17" s="8">
        <v>5.5</v>
      </c>
      <c r="D17" s="8">
        <v>2.5</v>
      </c>
      <c r="F17" t="s">
        <v>72</v>
      </c>
      <c r="H17" s="8">
        <f>H18+24.8</f>
        <v>33.299999999999997</v>
      </c>
      <c r="I17" s="8">
        <f>I18+36.8</f>
        <v>48.599999999999994</v>
      </c>
    </row>
    <row r="18" spans="1:9" ht="15.75" thickBot="1" x14ac:dyDescent="0.3">
      <c r="A18" s="1" t="s">
        <v>231</v>
      </c>
      <c r="C18" s="10">
        <f>SUM(C3:C17)/15</f>
        <v>46.893333333333338</v>
      </c>
      <c r="D18" s="10">
        <v>54</v>
      </c>
      <c r="F18" t="s">
        <v>73</v>
      </c>
      <c r="H18" s="8">
        <v>8.5</v>
      </c>
      <c r="I18" s="8">
        <v>11.8</v>
      </c>
    </row>
    <row r="19" spans="1:9" ht="15.75" thickTop="1" x14ac:dyDescent="0.25">
      <c r="F19" t="s">
        <v>70</v>
      </c>
      <c r="H19" s="8">
        <f>H20+35.8</f>
        <v>61.699999999999996</v>
      </c>
      <c r="I19" s="8">
        <f>I20+42.6</f>
        <v>71.3</v>
      </c>
    </row>
    <row r="20" spans="1:9" x14ac:dyDescent="0.25">
      <c r="F20" t="s">
        <v>71</v>
      </c>
      <c r="H20" s="8">
        <v>25.9</v>
      </c>
      <c r="I20" s="8">
        <v>28.7</v>
      </c>
    </row>
    <row r="21" spans="1:9" ht="15.75" thickBot="1" x14ac:dyDescent="0.3">
      <c r="F21" s="1" t="s">
        <v>231</v>
      </c>
      <c r="H21" s="10">
        <f>SUM(H3:H20)/18</f>
        <v>46.038888888888884</v>
      </c>
      <c r="I21" s="10">
        <v>55.1</v>
      </c>
    </row>
    <row r="22" spans="1:9" ht="15.75" thickTop="1" x14ac:dyDescent="0.25"/>
    <row r="23" spans="1:9" s="165" customFormat="1" ht="12.75" x14ac:dyDescent="0.2">
      <c r="A23" s="165" t="s">
        <v>232</v>
      </c>
      <c r="B23" s="173"/>
      <c r="G23" s="173"/>
    </row>
    <row r="25" spans="1:9" x14ac:dyDescent="0.25">
      <c r="A25" s="168" t="s">
        <v>63</v>
      </c>
    </row>
    <row r="26" spans="1:9" x14ac:dyDescent="0.25">
      <c r="A26" s="166"/>
    </row>
    <row r="27" spans="1:9" x14ac:dyDescent="0.25">
      <c r="A27" s="165" t="s">
        <v>108</v>
      </c>
    </row>
    <row r="28" spans="1:9" x14ac:dyDescent="0.25">
      <c r="A28" s="165" t="s">
        <v>74</v>
      </c>
    </row>
    <row r="29" spans="1:9" x14ac:dyDescent="0.25">
      <c r="A29" s="166" t="s">
        <v>104</v>
      </c>
    </row>
  </sheetData>
  <sheetProtection algorithmName="SHA-512" hashValue="S9WdH5tTQ0MChEwVrGlzsG2k9/ZA4lBmcC/IdnGfJyaKCiwGMr1t0sM5LgH6rHFyLvMtpF5XFEJN8Xkc3b1fLw==" saltValue="V44Na2XC6NqtD6vjqencWA==" spinCount="100000" sheet="1" objects="1" scenarios="1"/>
  <pageMargins left="0.51181102362204722" right="0.5118110236220472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A82"/>
  <sheetViews>
    <sheetView zoomScale="75" zoomScaleNormal="75" workbookViewId="0">
      <selection activeCell="N44" sqref="N44"/>
    </sheetView>
  </sheetViews>
  <sheetFormatPr defaultRowHeight="15" x14ac:dyDescent="0.25"/>
  <cols>
    <col min="1" max="1" width="13.85546875" bestFit="1" customWidth="1"/>
    <col min="2" max="2" width="38.28515625" customWidth="1"/>
    <col min="3" max="3" width="10.85546875" bestFit="1" customWidth="1"/>
    <col min="25" max="25" width="9.140625" style="5"/>
    <col min="26" max="26" width="13.85546875" bestFit="1" customWidth="1"/>
  </cols>
  <sheetData>
    <row r="1" spans="1:27" x14ac:dyDescent="0.25">
      <c r="A1" t="s">
        <v>123</v>
      </c>
      <c r="B1" t="s">
        <v>141</v>
      </c>
      <c r="C1" s="5">
        <v>0</v>
      </c>
      <c r="D1" s="5">
        <v>1</v>
      </c>
      <c r="E1" s="5">
        <v>2</v>
      </c>
      <c r="F1" s="5">
        <v>3</v>
      </c>
      <c r="G1" s="5">
        <v>4</v>
      </c>
      <c r="H1" s="5">
        <v>5</v>
      </c>
      <c r="I1" s="5">
        <v>6</v>
      </c>
      <c r="J1" s="5">
        <v>7</v>
      </c>
      <c r="K1" s="5">
        <v>8</v>
      </c>
      <c r="L1" s="5">
        <v>9</v>
      </c>
      <c r="M1" s="5">
        <v>10</v>
      </c>
      <c r="N1" s="5">
        <v>11</v>
      </c>
      <c r="O1" s="5">
        <v>12</v>
      </c>
      <c r="P1" s="5">
        <v>13</v>
      </c>
      <c r="Q1" s="5">
        <v>14</v>
      </c>
      <c r="R1" s="5">
        <v>15</v>
      </c>
      <c r="S1" s="5">
        <v>16</v>
      </c>
      <c r="T1" s="5">
        <v>17</v>
      </c>
      <c r="U1" s="5">
        <v>18</v>
      </c>
      <c r="V1" s="5">
        <v>19</v>
      </c>
      <c r="W1" s="5">
        <v>20</v>
      </c>
      <c r="X1" s="5">
        <v>21</v>
      </c>
      <c r="Y1" s="5" t="s">
        <v>122</v>
      </c>
      <c r="Z1" t="s">
        <v>123</v>
      </c>
    </row>
    <row r="2" spans="1:27" ht="15.75" thickBot="1" x14ac:dyDescent="0.3">
      <c r="A2" t="s">
        <v>124</v>
      </c>
      <c r="B2" s="3" t="s">
        <v>35</v>
      </c>
      <c r="C2" s="80">
        <f>C23</f>
        <v>15</v>
      </c>
      <c r="D2" s="8">
        <v>53.7</v>
      </c>
      <c r="E2" s="8">
        <v>86.9</v>
      </c>
      <c r="F2" s="8">
        <v>38.299999999999997</v>
      </c>
      <c r="G2" s="8">
        <v>90.9</v>
      </c>
      <c r="H2" s="8">
        <v>89.1</v>
      </c>
      <c r="I2" s="134">
        <f>J2+40.2</f>
        <v>73</v>
      </c>
      <c r="J2" s="134">
        <v>32.799999999999997</v>
      </c>
      <c r="K2" s="134">
        <f>L2+41.6</f>
        <v>67</v>
      </c>
      <c r="L2" s="134">
        <v>25.4</v>
      </c>
      <c r="M2" s="82" t="s">
        <v>60</v>
      </c>
      <c r="N2" s="8">
        <v>95.9</v>
      </c>
      <c r="O2" s="8">
        <v>57.8</v>
      </c>
      <c r="P2" s="134">
        <f>Q2+42.9</f>
        <v>69.900000000000006</v>
      </c>
      <c r="Q2" s="134">
        <f>R2+24.5</f>
        <v>27</v>
      </c>
      <c r="R2" s="134">
        <v>2.5</v>
      </c>
      <c r="S2" s="8"/>
      <c r="T2" s="8"/>
      <c r="U2" s="8"/>
      <c r="V2" s="8"/>
      <c r="W2" s="8"/>
      <c r="X2" s="8"/>
      <c r="Y2" s="15">
        <f>SUM(D2:R2)/C2</f>
        <v>54.013333333333328</v>
      </c>
      <c r="Z2" t="s">
        <v>124</v>
      </c>
      <c r="AA2" s="3" t="s">
        <v>35</v>
      </c>
    </row>
    <row r="3" spans="1:27" ht="16.5" thickTop="1" thickBot="1" x14ac:dyDescent="0.3">
      <c r="A3" t="s">
        <v>124</v>
      </c>
      <c r="B3" s="3" t="s">
        <v>130</v>
      </c>
      <c r="C3" s="80">
        <f t="shared" ref="C3:C19" si="0">C24</f>
        <v>19</v>
      </c>
      <c r="D3" s="8">
        <v>75.8</v>
      </c>
      <c r="E3" s="8">
        <v>64</v>
      </c>
      <c r="F3" s="8">
        <v>82</v>
      </c>
      <c r="G3" s="8">
        <f>H3+53.1</f>
        <v>85.6</v>
      </c>
      <c r="H3" s="8">
        <v>32.5</v>
      </c>
      <c r="I3" s="8">
        <v>57.5</v>
      </c>
      <c r="J3" s="8">
        <v>80</v>
      </c>
      <c r="K3" s="8">
        <v>53.5</v>
      </c>
      <c r="L3" s="8">
        <v>69</v>
      </c>
      <c r="M3" s="8">
        <v>56.2</v>
      </c>
      <c r="N3" s="8">
        <v>55</v>
      </c>
      <c r="O3" s="8">
        <v>69.099999999999994</v>
      </c>
      <c r="P3" s="8">
        <v>25.2</v>
      </c>
      <c r="Q3" s="8">
        <v>80.7</v>
      </c>
      <c r="R3" s="134">
        <f>S3+36.8</f>
        <v>48.599999999999994</v>
      </c>
      <c r="S3" s="134">
        <v>11.8</v>
      </c>
      <c r="T3" s="134">
        <f>U3+42.6</f>
        <v>71.3</v>
      </c>
      <c r="U3" s="134">
        <v>28.7</v>
      </c>
      <c r="V3" s="8"/>
      <c r="W3" s="8"/>
      <c r="X3" s="8"/>
      <c r="Y3" s="15">
        <f>SUM(D3:U3)/C3</f>
        <v>55.078947368421055</v>
      </c>
      <c r="Z3" t="s">
        <v>124</v>
      </c>
      <c r="AA3" s="3" t="s">
        <v>130</v>
      </c>
    </row>
    <row r="4" spans="1:27" ht="16.5" thickTop="1" thickBot="1" x14ac:dyDescent="0.3">
      <c r="A4" t="s">
        <v>126</v>
      </c>
      <c r="B4" s="84" t="s">
        <v>131</v>
      </c>
      <c r="C4" s="80">
        <f t="shared" si="0"/>
        <v>17</v>
      </c>
      <c r="D4" s="86">
        <v>80.5</v>
      </c>
      <c r="E4" s="86">
        <v>53.5</v>
      </c>
      <c r="F4" s="86">
        <v>87.3</v>
      </c>
      <c r="G4" s="86">
        <v>78.8</v>
      </c>
      <c r="H4" s="86">
        <v>82.1</v>
      </c>
      <c r="I4" s="86">
        <v>69.5</v>
      </c>
      <c r="J4" s="86">
        <v>89.6</v>
      </c>
      <c r="K4" s="86">
        <f>L4+33</f>
        <v>72.400000000000006</v>
      </c>
      <c r="L4" s="86">
        <v>39.4</v>
      </c>
      <c r="M4" s="86">
        <v>59.4</v>
      </c>
      <c r="N4" s="134">
        <f>O4+26.7</f>
        <v>85</v>
      </c>
      <c r="O4" s="134">
        <f>P4+21.5</f>
        <v>58.3</v>
      </c>
      <c r="P4" s="134">
        <v>36.799999999999997</v>
      </c>
      <c r="Q4" s="86">
        <f>R4+53.6</f>
        <v>87.2</v>
      </c>
      <c r="R4" s="86">
        <v>33.6</v>
      </c>
      <c r="S4" s="86">
        <v>58</v>
      </c>
      <c r="T4" s="86">
        <v>45.6</v>
      </c>
      <c r="U4" s="8"/>
      <c r="V4" s="8"/>
      <c r="W4" s="8"/>
      <c r="X4" s="8"/>
      <c r="Y4" s="15">
        <f>SUM(D4:T4)/C4</f>
        <v>65.705882352941174</v>
      </c>
      <c r="Z4" t="s">
        <v>126</v>
      </c>
      <c r="AA4" s="84" t="s">
        <v>131</v>
      </c>
    </row>
    <row r="5" spans="1:27" ht="16.5" thickTop="1" thickBot="1" x14ac:dyDescent="0.3">
      <c r="A5" t="s">
        <v>126</v>
      </c>
      <c r="B5" s="84" t="s">
        <v>132</v>
      </c>
      <c r="C5" s="80">
        <f t="shared" si="0"/>
        <v>16</v>
      </c>
      <c r="D5" s="86">
        <v>57</v>
      </c>
      <c r="E5" s="86">
        <v>91.5</v>
      </c>
      <c r="F5" s="86">
        <v>72.900000000000006</v>
      </c>
      <c r="G5" s="86">
        <v>64.599999999999994</v>
      </c>
      <c r="H5" s="86">
        <v>82.7</v>
      </c>
      <c r="I5" s="86">
        <v>76.8</v>
      </c>
      <c r="J5" s="86">
        <v>86.8</v>
      </c>
      <c r="K5" s="86">
        <v>82.9</v>
      </c>
      <c r="L5" s="86">
        <v>53.1</v>
      </c>
      <c r="M5" s="86">
        <v>80.599999999999994</v>
      </c>
      <c r="N5" s="86">
        <v>79.400000000000006</v>
      </c>
      <c r="O5" s="86">
        <v>69.5</v>
      </c>
      <c r="P5" s="86">
        <v>31.4</v>
      </c>
      <c r="Q5" s="86">
        <v>15.5</v>
      </c>
      <c r="R5" s="86">
        <v>85.3</v>
      </c>
      <c r="S5" s="86">
        <v>49.2</v>
      </c>
      <c r="T5" s="8"/>
      <c r="U5" s="8"/>
      <c r="V5" s="8"/>
      <c r="W5" s="8"/>
      <c r="X5" s="8"/>
      <c r="Y5" s="15">
        <f>SUM(D5:S5)/C5</f>
        <v>67.45</v>
      </c>
      <c r="Z5" t="s">
        <v>126</v>
      </c>
      <c r="AA5" s="84" t="s">
        <v>132</v>
      </c>
    </row>
    <row r="6" spans="1:27" ht="16.5" thickTop="1" thickBot="1" x14ac:dyDescent="0.3">
      <c r="A6" t="s">
        <v>126</v>
      </c>
      <c r="B6" s="84" t="s">
        <v>133</v>
      </c>
      <c r="C6" s="80">
        <f t="shared" si="0"/>
        <v>16</v>
      </c>
      <c r="D6" s="86">
        <v>82.4</v>
      </c>
      <c r="E6" s="86">
        <v>66.2</v>
      </c>
      <c r="F6" s="86">
        <v>85.4</v>
      </c>
      <c r="G6" s="86">
        <f>H6+63</f>
        <v>86.2</v>
      </c>
      <c r="H6" s="86">
        <v>23.2</v>
      </c>
      <c r="I6" s="86">
        <v>93.1</v>
      </c>
      <c r="J6" s="86">
        <v>94.9</v>
      </c>
      <c r="K6" s="86">
        <f>L6+19.6</f>
        <v>85.1</v>
      </c>
      <c r="L6" s="86">
        <f>M6+27.9</f>
        <v>65.5</v>
      </c>
      <c r="M6" s="86">
        <v>37.6</v>
      </c>
      <c r="N6" s="86">
        <f>O6+50</f>
        <v>93.1</v>
      </c>
      <c r="O6" s="86">
        <v>43.1</v>
      </c>
      <c r="P6" s="86">
        <f>Q6+34</f>
        <v>79.400000000000006</v>
      </c>
      <c r="Q6" s="86">
        <v>45.4</v>
      </c>
      <c r="R6" s="86">
        <v>76.3</v>
      </c>
      <c r="S6" s="86">
        <v>58.5</v>
      </c>
      <c r="T6" s="8"/>
      <c r="U6" s="8"/>
      <c r="V6" s="8"/>
      <c r="W6" s="8"/>
      <c r="X6" s="8"/>
      <c r="Y6" s="15">
        <f>SUM(D6:S6)/C6</f>
        <v>69.712500000000006</v>
      </c>
      <c r="Z6" t="s">
        <v>126</v>
      </c>
      <c r="AA6" s="84" t="s">
        <v>133</v>
      </c>
    </row>
    <row r="7" spans="1:27" ht="16.5" thickTop="1" thickBot="1" x14ac:dyDescent="0.3">
      <c r="A7" t="s">
        <v>126</v>
      </c>
      <c r="B7" s="84" t="s">
        <v>134</v>
      </c>
      <c r="C7" s="80">
        <f t="shared" si="0"/>
        <v>14</v>
      </c>
      <c r="D7" s="86">
        <v>77.400000000000006</v>
      </c>
      <c r="E7" s="86">
        <v>91.7</v>
      </c>
      <c r="F7" s="86">
        <v>84.6</v>
      </c>
      <c r="G7" s="86">
        <v>77.900000000000006</v>
      </c>
      <c r="H7" s="86">
        <v>56.2</v>
      </c>
      <c r="I7" s="86">
        <v>91.6</v>
      </c>
      <c r="J7" s="86">
        <f>K7+9.7</f>
        <v>42.2</v>
      </c>
      <c r="K7" s="86">
        <v>32.5</v>
      </c>
      <c r="L7" s="86"/>
      <c r="M7" s="86">
        <v>58.7</v>
      </c>
      <c r="N7" s="86">
        <v>55.4</v>
      </c>
      <c r="O7" s="86">
        <v>46</v>
      </c>
      <c r="P7" s="86">
        <v>31</v>
      </c>
      <c r="Q7" s="86">
        <v>23.5</v>
      </c>
      <c r="R7" s="86">
        <v>51.1</v>
      </c>
      <c r="S7" s="8"/>
      <c r="T7" s="8"/>
      <c r="U7" s="8"/>
      <c r="V7" s="8"/>
      <c r="W7" s="8"/>
      <c r="X7" s="8"/>
      <c r="Y7" s="15">
        <f>SUM(D7:R7)/C7</f>
        <v>58.557142857142864</v>
      </c>
      <c r="Z7" t="s">
        <v>126</v>
      </c>
      <c r="AA7" s="84" t="s">
        <v>134</v>
      </c>
    </row>
    <row r="8" spans="1:27" ht="16.5" thickTop="1" thickBot="1" x14ac:dyDescent="0.3">
      <c r="A8" t="s">
        <v>127</v>
      </c>
      <c r="B8" s="84" t="s">
        <v>135</v>
      </c>
      <c r="C8" s="80">
        <f t="shared" si="0"/>
        <v>19</v>
      </c>
      <c r="D8" s="86">
        <v>81.5</v>
      </c>
      <c r="E8" s="86">
        <v>84.4</v>
      </c>
      <c r="F8" s="86">
        <v>71.900000000000006</v>
      </c>
      <c r="G8" s="86">
        <v>43.5</v>
      </c>
      <c r="H8" s="86">
        <v>41.8</v>
      </c>
      <c r="I8" s="86">
        <v>23.6</v>
      </c>
      <c r="J8" s="86">
        <v>78</v>
      </c>
      <c r="K8" s="86">
        <v>73.400000000000006</v>
      </c>
      <c r="L8" s="86">
        <v>44.8</v>
      </c>
      <c r="M8" s="86">
        <v>87.7</v>
      </c>
      <c r="N8" s="86">
        <v>82.6</v>
      </c>
      <c r="O8" s="86">
        <v>88.4</v>
      </c>
      <c r="P8" s="86">
        <v>83.8</v>
      </c>
      <c r="Q8" s="86">
        <v>66.400000000000006</v>
      </c>
      <c r="R8" s="86">
        <v>88.7</v>
      </c>
      <c r="S8" s="86">
        <v>60.5</v>
      </c>
      <c r="T8" s="86">
        <v>49.3</v>
      </c>
      <c r="U8" s="86">
        <v>22.1</v>
      </c>
      <c r="V8" s="86">
        <v>46.2</v>
      </c>
      <c r="W8" s="86"/>
      <c r="X8" s="86"/>
      <c r="Y8" s="15">
        <f>SUM(D8:V8)/C8</f>
        <v>64.136842105263156</v>
      </c>
      <c r="Z8" t="s">
        <v>127</v>
      </c>
      <c r="AA8" s="84" t="s">
        <v>135</v>
      </c>
    </row>
    <row r="9" spans="1:27" ht="16.5" thickTop="1" thickBot="1" x14ac:dyDescent="0.3">
      <c r="A9" t="s">
        <v>127</v>
      </c>
      <c r="B9" s="84" t="s">
        <v>136</v>
      </c>
      <c r="C9" s="80">
        <f t="shared" si="0"/>
        <v>16</v>
      </c>
      <c r="D9" s="86">
        <v>94.5</v>
      </c>
      <c r="E9" s="86">
        <v>86.4</v>
      </c>
      <c r="F9" s="86">
        <v>54.5</v>
      </c>
      <c r="G9" s="86">
        <v>95.8</v>
      </c>
      <c r="H9" s="86">
        <f>I9+15.9</f>
        <v>87.600000000000009</v>
      </c>
      <c r="I9" s="86">
        <v>71.7</v>
      </c>
      <c r="J9" s="86">
        <v>82.8</v>
      </c>
      <c r="K9" s="86">
        <f>L9+38.9</f>
        <v>81.900000000000006</v>
      </c>
      <c r="L9" s="86">
        <v>43</v>
      </c>
      <c r="M9" s="86">
        <v>38.5</v>
      </c>
      <c r="N9" s="86">
        <f>O9+39.8</f>
        <v>61.099999999999994</v>
      </c>
      <c r="O9" s="86">
        <v>21.3</v>
      </c>
      <c r="P9" s="86">
        <v>60.7</v>
      </c>
      <c r="Q9" s="86">
        <v>64.5</v>
      </c>
      <c r="R9" s="86">
        <f>S9+45</f>
        <v>81.5</v>
      </c>
      <c r="S9" s="86">
        <v>36.5</v>
      </c>
      <c r="T9" s="8"/>
      <c r="U9" s="8"/>
      <c r="V9" s="8"/>
      <c r="W9" s="8"/>
      <c r="X9" s="8"/>
      <c r="Y9" s="15">
        <f>SUM(D9:S9)/C9</f>
        <v>66.393749999999997</v>
      </c>
      <c r="Z9" t="s">
        <v>127</v>
      </c>
      <c r="AA9" s="84" t="s">
        <v>136</v>
      </c>
    </row>
    <row r="10" spans="1:27" ht="16.5" thickTop="1" thickBot="1" x14ac:dyDescent="0.3">
      <c r="A10" t="s">
        <v>127</v>
      </c>
      <c r="B10" s="84" t="s">
        <v>137</v>
      </c>
      <c r="C10" s="80">
        <f t="shared" si="0"/>
        <v>15</v>
      </c>
      <c r="D10" s="86">
        <v>89.7</v>
      </c>
      <c r="E10" s="86">
        <v>66.3</v>
      </c>
      <c r="F10" s="86">
        <f>G10+40.3</f>
        <v>59.199999999999996</v>
      </c>
      <c r="G10" s="86">
        <v>18.899999999999999</v>
      </c>
      <c r="H10" s="86">
        <v>64.5</v>
      </c>
      <c r="I10" s="86">
        <v>93</v>
      </c>
      <c r="J10" s="86">
        <v>81.5</v>
      </c>
      <c r="K10" s="86">
        <v>82.1</v>
      </c>
      <c r="L10" s="86">
        <v>69.099999999999994</v>
      </c>
      <c r="M10" s="86">
        <v>87.5</v>
      </c>
      <c r="N10" s="86">
        <v>68.8</v>
      </c>
      <c r="O10" s="86">
        <f>P10+15.7</f>
        <v>85.8</v>
      </c>
      <c r="P10" s="86">
        <v>70.099999999999994</v>
      </c>
      <c r="Q10" s="86">
        <f>R10+33.6</f>
        <v>77.599999999999994</v>
      </c>
      <c r="R10" s="86">
        <v>44</v>
      </c>
      <c r="S10" s="8"/>
      <c r="T10" s="8"/>
      <c r="U10" s="8"/>
      <c r="V10" s="8"/>
      <c r="W10" s="8"/>
      <c r="X10" s="8"/>
      <c r="Y10" s="15">
        <f>SUM(D10:R10)/C10</f>
        <v>70.539999999999992</v>
      </c>
      <c r="Z10" t="s">
        <v>127</v>
      </c>
      <c r="AA10" s="84" t="s">
        <v>137</v>
      </c>
    </row>
    <row r="11" spans="1:27" ht="16.5" thickTop="1" thickBot="1" x14ac:dyDescent="0.3">
      <c r="A11" t="s">
        <v>127</v>
      </c>
      <c r="B11" s="84" t="s">
        <v>102</v>
      </c>
      <c r="C11" s="80">
        <f t="shared" si="0"/>
        <v>18</v>
      </c>
      <c r="D11" s="86">
        <v>75.5</v>
      </c>
      <c r="E11" s="86">
        <v>60.9</v>
      </c>
      <c r="F11" s="86">
        <v>77.7</v>
      </c>
      <c r="G11" s="86">
        <v>21.3</v>
      </c>
      <c r="H11" s="86">
        <v>68.400000000000006</v>
      </c>
      <c r="I11" s="86">
        <v>77.900000000000006</v>
      </c>
      <c r="J11" s="86">
        <v>68.099999999999994</v>
      </c>
      <c r="K11" s="86">
        <f>L11+36.9</f>
        <v>51.4</v>
      </c>
      <c r="L11" s="86">
        <v>14.5</v>
      </c>
      <c r="M11" s="86">
        <v>57.9</v>
      </c>
      <c r="N11" s="86">
        <v>47</v>
      </c>
      <c r="O11" s="86">
        <v>66.3</v>
      </c>
      <c r="P11" s="86">
        <f>Q11+11.9</f>
        <v>28.700000000000003</v>
      </c>
      <c r="Q11" s="86">
        <v>16.8</v>
      </c>
      <c r="R11" s="86">
        <f>S11+12.1</f>
        <v>75.3</v>
      </c>
      <c r="S11" s="86">
        <f>T11+19.5</f>
        <v>63.2</v>
      </c>
      <c r="T11" s="86">
        <v>43.7</v>
      </c>
      <c r="U11" s="86">
        <v>66.599999999999994</v>
      </c>
      <c r="V11" s="8"/>
      <c r="W11" s="8"/>
      <c r="X11" s="8"/>
      <c r="Y11" s="15">
        <f>SUM(D11:U11)/C11</f>
        <v>54.511111111111113</v>
      </c>
      <c r="Z11" t="s">
        <v>127</v>
      </c>
      <c r="AA11" s="84" t="s">
        <v>102</v>
      </c>
    </row>
    <row r="12" spans="1:27" ht="16.5" thickTop="1" thickBot="1" x14ac:dyDescent="0.3">
      <c r="A12" t="s">
        <v>163</v>
      </c>
      <c r="B12" s="84" t="s">
        <v>164</v>
      </c>
      <c r="C12" s="80">
        <f t="shared" si="0"/>
        <v>16</v>
      </c>
      <c r="D12" s="150">
        <v>89.9</v>
      </c>
      <c r="E12" s="150">
        <v>83.7</v>
      </c>
      <c r="F12" s="150">
        <v>88.1</v>
      </c>
      <c r="G12" s="150">
        <v>91.2</v>
      </c>
      <c r="H12" s="150">
        <v>69.3</v>
      </c>
      <c r="I12" s="150">
        <v>72.599999999999994</v>
      </c>
      <c r="J12" s="151">
        <v>67.3</v>
      </c>
      <c r="K12" s="151">
        <v>45.3</v>
      </c>
      <c r="L12" s="152">
        <v>76.099999999999994</v>
      </c>
      <c r="M12" s="151">
        <v>90.8</v>
      </c>
      <c r="N12" s="151">
        <v>78.7</v>
      </c>
      <c r="O12" s="152">
        <v>93.9</v>
      </c>
      <c r="P12" s="152">
        <v>72.8</v>
      </c>
      <c r="Q12" s="151">
        <v>57.6</v>
      </c>
      <c r="R12" s="151">
        <v>36.9</v>
      </c>
      <c r="S12" s="150">
        <v>78.099999999999994</v>
      </c>
      <c r="T12" s="86"/>
      <c r="U12" s="86"/>
      <c r="V12" s="8"/>
      <c r="W12" s="8"/>
      <c r="X12" s="8"/>
      <c r="Y12" s="15">
        <f>SUM(D12:U12)/C12</f>
        <v>74.518749999999997</v>
      </c>
      <c r="Z12" t="s">
        <v>163</v>
      </c>
      <c r="AA12" s="84" t="s">
        <v>164</v>
      </c>
    </row>
    <row r="13" spans="1:27" ht="16.5" thickTop="1" thickBot="1" x14ac:dyDescent="0.3">
      <c r="A13" t="s">
        <v>163</v>
      </c>
      <c r="B13" s="84" t="s">
        <v>166</v>
      </c>
      <c r="C13" s="80">
        <f t="shared" si="0"/>
        <v>19</v>
      </c>
      <c r="D13" s="150">
        <v>90.7</v>
      </c>
      <c r="E13" s="150">
        <v>86.7</v>
      </c>
      <c r="F13" s="150">
        <v>65.400000000000006</v>
      </c>
      <c r="G13" s="150">
        <v>18.8</v>
      </c>
      <c r="H13" s="150">
        <v>70.599999999999994</v>
      </c>
      <c r="I13" s="151">
        <v>84.9</v>
      </c>
      <c r="J13" s="151">
        <v>58.3</v>
      </c>
      <c r="K13" s="150">
        <v>50.6</v>
      </c>
      <c r="L13" s="150">
        <v>31.1</v>
      </c>
      <c r="M13" s="150">
        <v>55.6</v>
      </c>
      <c r="N13" s="150">
        <v>78.599999999999994</v>
      </c>
      <c r="O13" s="150">
        <v>86.5</v>
      </c>
      <c r="P13" s="150">
        <v>71.2</v>
      </c>
      <c r="Q13" s="151">
        <v>61.6</v>
      </c>
      <c r="R13" s="151">
        <v>27.2</v>
      </c>
      <c r="S13" s="151">
        <v>7.8</v>
      </c>
      <c r="T13" s="150">
        <v>48.2</v>
      </c>
      <c r="U13" s="150">
        <v>68.099999999999994</v>
      </c>
      <c r="V13" s="150">
        <v>23.9</v>
      </c>
      <c r="W13" s="8"/>
      <c r="X13" s="8"/>
      <c r="Y13" s="15">
        <f>SUM(D13:V13)/C13</f>
        <v>57.14736842105264</v>
      </c>
      <c r="Z13" t="s">
        <v>163</v>
      </c>
      <c r="AA13" s="84" t="s">
        <v>166</v>
      </c>
    </row>
    <row r="14" spans="1:27" ht="16.5" thickTop="1" thickBot="1" x14ac:dyDescent="0.3">
      <c r="A14" t="s">
        <v>163</v>
      </c>
      <c r="B14" s="84" t="s">
        <v>168</v>
      </c>
      <c r="C14" s="80">
        <f t="shared" si="0"/>
        <v>17</v>
      </c>
      <c r="D14" s="151">
        <v>89.1</v>
      </c>
      <c r="E14" s="151">
        <v>58.2</v>
      </c>
      <c r="F14" s="150">
        <v>84.1</v>
      </c>
      <c r="G14" s="150">
        <v>73.3</v>
      </c>
      <c r="H14" s="150">
        <v>70.400000000000006</v>
      </c>
      <c r="I14" s="150">
        <v>57.3</v>
      </c>
      <c r="J14" s="150">
        <v>79.5</v>
      </c>
      <c r="K14" s="151">
        <v>71</v>
      </c>
      <c r="L14" s="151">
        <v>36.200000000000003</v>
      </c>
      <c r="M14" s="150">
        <v>65.099999999999994</v>
      </c>
      <c r="N14" s="150">
        <v>76.099999999999994</v>
      </c>
      <c r="O14" s="151">
        <v>53.6</v>
      </c>
      <c r="P14" s="151">
        <v>29.9</v>
      </c>
      <c r="Q14" s="150">
        <v>75.7</v>
      </c>
      <c r="R14" s="151">
        <v>81.400000000000006</v>
      </c>
      <c r="S14" s="151">
        <v>63.9</v>
      </c>
      <c r="T14" s="151">
        <v>35.299999999999997</v>
      </c>
      <c r="U14" s="86"/>
      <c r="V14" s="8"/>
      <c r="W14" s="8"/>
      <c r="X14" s="8"/>
      <c r="Y14" s="15">
        <f>SUM(D14:U14)/C14</f>
        <v>64.711764705882359</v>
      </c>
      <c r="Z14" t="s">
        <v>163</v>
      </c>
      <c r="AA14" s="84" t="s">
        <v>168</v>
      </c>
    </row>
    <row r="15" spans="1:27" ht="16.5" thickTop="1" thickBot="1" x14ac:dyDescent="0.3">
      <c r="A15" t="s">
        <v>163</v>
      </c>
      <c r="B15" s="84" t="s">
        <v>169</v>
      </c>
      <c r="C15" s="80">
        <f t="shared" si="0"/>
        <v>21</v>
      </c>
      <c r="D15" s="150">
        <v>94.2</v>
      </c>
      <c r="E15" s="151">
        <v>87.9</v>
      </c>
      <c r="F15" s="151">
        <v>51.8</v>
      </c>
      <c r="G15" s="151">
        <v>69.3</v>
      </c>
      <c r="H15" s="151">
        <v>42.7</v>
      </c>
      <c r="I15" s="150">
        <v>64</v>
      </c>
      <c r="J15" s="150">
        <v>61.4</v>
      </c>
      <c r="K15" s="150">
        <v>81.3</v>
      </c>
      <c r="L15" s="151">
        <v>60.6</v>
      </c>
      <c r="M15" s="151">
        <v>28.8</v>
      </c>
      <c r="N15" s="150">
        <v>62.7</v>
      </c>
      <c r="O15" s="150">
        <v>58.3</v>
      </c>
      <c r="P15" s="150">
        <v>70</v>
      </c>
      <c r="Q15" s="151">
        <v>46.5</v>
      </c>
      <c r="R15" s="151">
        <v>38.700000000000003</v>
      </c>
      <c r="S15" s="151">
        <v>20.5</v>
      </c>
      <c r="T15" s="150">
        <v>75.400000000000006</v>
      </c>
      <c r="U15" s="150">
        <v>52</v>
      </c>
      <c r="V15" s="150">
        <v>50.7</v>
      </c>
      <c r="W15" s="150">
        <v>57.6</v>
      </c>
      <c r="X15" s="150">
        <v>69.400000000000006</v>
      </c>
      <c r="Y15" s="15">
        <f>SUM(D15:X15)/C15</f>
        <v>59.228571428571428</v>
      </c>
      <c r="Z15" t="s">
        <v>163</v>
      </c>
      <c r="AA15" s="84" t="s">
        <v>169</v>
      </c>
    </row>
    <row r="16" spans="1:27" ht="16.5" thickTop="1" thickBot="1" x14ac:dyDescent="0.3">
      <c r="A16" t="s">
        <v>170</v>
      </c>
      <c r="B16" s="84" t="s">
        <v>202</v>
      </c>
      <c r="C16" s="80">
        <f t="shared" si="0"/>
        <v>18</v>
      </c>
      <c r="D16" s="86">
        <v>87.4</v>
      </c>
      <c r="E16" s="86">
        <v>83.4</v>
      </c>
      <c r="F16" s="86">
        <v>70.3</v>
      </c>
      <c r="G16" s="86">
        <v>76.099999999999994</v>
      </c>
      <c r="H16" s="134">
        <v>82.7</v>
      </c>
      <c r="I16" s="134">
        <v>64.3</v>
      </c>
      <c r="J16" s="86">
        <v>87.1</v>
      </c>
      <c r="K16" s="86">
        <v>88.4</v>
      </c>
      <c r="L16" s="86">
        <v>80.599999999999994</v>
      </c>
      <c r="M16" s="86">
        <v>45.1</v>
      </c>
      <c r="N16" s="86">
        <v>85</v>
      </c>
      <c r="O16" s="86">
        <v>38.299999999999997</v>
      </c>
      <c r="P16" s="86">
        <v>87.8</v>
      </c>
      <c r="Q16" s="134">
        <v>87.7</v>
      </c>
      <c r="R16" s="134">
        <v>82.5</v>
      </c>
      <c r="S16" s="8">
        <v>89.4</v>
      </c>
      <c r="T16" s="134">
        <v>72.8</v>
      </c>
      <c r="U16" s="134">
        <v>42.2</v>
      </c>
      <c r="V16" s="8"/>
      <c r="W16" s="8"/>
      <c r="X16" s="8"/>
      <c r="Y16" s="15">
        <f>SUM(D16:U16)/C16</f>
        <v>75.061111111111117</v>
      </c>
      <c r="Z16" t="s">
        <v>170</v>
      </c>
      <c r="AA16" s="84" t="s">
        <v>202</v>
      </c>
    </row>
    <row r="17" spans="1:27" ht="16.5" thickTop="1" thickBot="1" x14ac:dyDescent="0.3">
      <c r="A17" t="s">
        <v>170</v>
      </c>
      <c r="B17" s="84" t="s">
        <v>203</v>
      </c>
      <c r="C17" s="80">
        <f t="shared" si="0"/>
        <v>19</v>
      </c>
      <c r="D17" s="8">
        <v>84.7</v>
      </c>
      <c r="E17" s="8">
        <v>92.1</v>
      </c>
      <c r="F17" s="8">
        <v>70.8</v>
      </c>
      <c r="G17" s="8">
        <v>92.2</v>
      </c>
      <c r="H17" s="8">
        <v>92</v>
      </c>
      <c r="I17" s="8">
        <v>94.9</v>
      </c>
      <c r="J17" s="8">
        <v>95.6</v>
      </c>
      <c r="K17" s="8">
        <v>77.7</v>
      </c>
      <c r="L17" s="134">
        <v>89.7</v>
      </c>
      <c r="M17" s="134">
        <v>39.4</v>
      </c>
      <c r="N17" s="8">
        <v>94.9</v>
      </c>
      <c r="O17" s="8">
        <v>86.6</v>
      </c>
      <c r="P17" s="134">
        <v>88.8</v>
      </c>
      <c r="Q17" s="134">
        <v>74.2</v>
      </c>
      <c r="R17" s="8">
        <v>79</v>
      </c>
      <c r="S17" s="8">
        <v>92.6</v>
      </c>
      <c r="T17" s="8">
        <v>79.5</v>
      </c>
      <c r="U17" s="8">
        <v>82.8</v>
      </c>
      <c r="V17" s="134">
        <v>36.6</v>
      </c>
      <c r="W17" s="134">
        <v>10.27</v>
      </c>
      <c r="X17" s="8"/>
      <c r="Y17" s="15">
        <f>SUM(D17:W17)/C17</f>
        <v>81.808947368421045</v>
      </c>
      <c r="Z17" t="s">
        <v>170</v>
      </c>
      <c r="AA17" s="84" t="s">
        <v>203</v>
      </c>
    </row>
    <row r="18" spans="1:27" ht="16.5" thickTop="1" thickBot="1" x14ac:dyDescent="0.3">
      <c r="A18" t="s">
        <v>170</v>
      </c>
      <c r="B18" s="84" t="s">
        <v>200</v>
      </c>
      <c r="C18" s="80">
        <f t="shared" si="0"/>
        <v>16</v>
      </c>
      <c r="D18" s="8">
        <v>78.599999999999994</v>
      </c>
      <c r="E18" s="8">
        <v>74.599999999999994</v>
      </c>
      <c r="F18" s="8">
        <v>76.099999999999994</v>
      </c>
      <c r="G18" s="8">
        <v>77.099999999999994</v>
      </c>
      <c r="H18" s="8">
        <v>56.3</v>
      </c>
      <c r="I18" s="8">
        <v>56.3</v>
      </c>
      <c r="J18" s="134">
        <v>49</v>
      </c>
      <c r="K18" s="134">
        <v>26.91</v>
      </c>
      <c r="L18" s="8">
        <v>63.4</v>
      </c>
      <c r="M18" s="134">
        <v>80.400000000000006</v>
      </c>
      <c r="N18" s="134">
        <v>61.1</v>
      </c>
      <c r="O18" s="8">
        <v>88</v>
      </c>
      <c r="P18" s="8">
        <v>66</v>
      </c>
      <c r="Q18" s="134">
        <v>42.5</v>
      </c>
      <c r="R18" s="134">
        <v>18.600000000000001</v>
      </c>
      <c r="S18" s="86">
        <v>67.400000000000006</v>
      </c>
      <c r="T18" s="8"/>
      <c r="U18" s="86"/>
      <c r="V18" s="86"/>
      <c r="W18" s="86"/>
      <c r="X18" s="8"/>
      <c r="Y18" s="15">
        <f>SUM(D18:T18)/C18</f>
        <v>61.394375000000004</v>
      </c>
      <c r="Z18" t="s">
        <v>170</v>
      </c>
      <c r="AA18" s="84" t="s">
        <v>200</v>
      </c>
    </row>
    <row r="19" spans="1:27" ht="16.5" thickTop="1" thickBot="1" x14ac:dyDescent="0.3">
      <c r="A19" t="s">
        <v>170</v>
      </c>
      <c r="B19" s="84" t="s">
        <v>201</v>
      </c>
      <c r="C19" s="80">
        <f t="shared" si="0"/>
        <v>17</v>
      </c>
      <c r="D19" s="134">
        <v>77</v>
      </c>
      <c r="E19" s="134">
        <v>44.9</v>
      </c>
      <c r="F19" s="8">
        <v>74.2</v>
      </c>
      <c r="G19" s="8">
        <v>57.9</v>
      </c>
      <c r="H19" s="8">
        <v>65.8</v>
      </c>
      <c r="I19" s="8">
        <v>44.2</v>
      </c>
      <c r="J19" s="8">
        <v>65.599999999999994</v>
      </c>
      <c r="K19" s="134">
        <v>56.5</v>
      </c>
      <c r="L19" s="134">
        <v>27</v>
      </c>
      <c r="M19" s="8">
        <v>49.9</v>
      </c>
      <c r="N19" s="8">
        <v>62.8</v>
      </c>
      <c r="O19" s="134">
        <v>39.5</v>
      </c>
      <c r="P19" s="134">
        <v>13.2</v>
      </c>
      <c r="Q19" s="8">
        <v>53.2</v>
      </c>
      <c r="R19" s="134">
        <v>61.5</v>
      </c>
      <c r="S19" s="134">
        <v>37.4</v>
      </c>
      <c r="T19" s="134">
        <v>17.7</v>
      </c>
      <c r="U19" s="86"/>
      <c r="V19" s="86"/>
      <c r="W19" s="86"/>
      <c r="X19" s="8"/>
      <c r="Y19" s="15">
        <f>SUM(D19:U19)/C19</f>
        <v>49.900000000000006</v>
      </c>
      <c r="Z19" t="s">
        <v>170</v>
      </c>
      <c r="AA19" s="84" t="s">
        <v>201</v>
      </c>
    </row>
    <row r="20" spans="1:27" ht="15.75" thickTop="1" x14ac:dyDescent="0.25"/>
    <row r="22" spans="1:27" x14ac:dyDescent="0.25">
      <c r="A22" t="s">
        <v>123</v>
      </c>
      <c r="B22" s="92" t="s">
        <v>154</v>
      </c>
      <c r="C22" s="5"/>
      <c r="D22" s="5">
        <v>1</v>
      </c>
      <c r="E22" s="5">
        <v>2</v>
      </c>
      <c r="F22" s="5">
        <v>3</v>
      </c>
      <c r="G22" s="5">
        <v>4</v>
      </c>
      <c r="H22" s="5">
        <v>5</v>
      </c>
      <c r="I22" s="5">
        <v>6</v>
      </c>
      <c r="J22" s="5">
        <v>7</v>
      </c>
      <c r="K22" s="5">
        <v>8</v>
      </c>
      <c r="L22" s="5">
        <v>9</v>
      </c>
      <c r="M22" s="5">
        <v>10</v>
      </c>
      <c r="N22" s="5">
        <v>11</v>
      </c>
      <c r="O22" s="5">
        <v>12</v>
      </c>
      <c r="P22" s="5">
        <v>13</v>
      </c>
      <c r="Q22" s="5">
        <v>14</v>
      </c>
      <c r="R22" s="5">
        <v>15</v>
      </c>
      <c r="S22" s="5">
        <v>16</v>
      </c>
      <c r="T22" s="5">
        <v>17</v>
      </c>
      <c r="U22" s="164" t="s">
        <v>225</v>
      </c>
      <c r="V22" s="5"/>
      <c r="W22" s="5"/>
      <c r="X22" s="5"/>
    </row>
    <row r="23" spans="1:27" x14ac:dyDescent="0.25">
      <c r="A23" t="s">
        <v>124</v>
      </c>
      <c r="B23" s="3" t="s">
        <v>35</v>
      </c>
      <c r="C23" s="18">
        <f>SUM(D23:T23)</f>
        <v>15</v>
      </c>
      <c r="D23" s="16">
        <v>1</v>
      </c>
      <c r="E23" s="16">
        <v>1</v>
      </c>
      <c r="F23" s="16">
        <v>1</v>
      </c>
      <c r="G23" s="16">
        <v>1</v>
      </c>
      <c r="H23" s="16">
        <v>1</v>
      </c>
      <c r="I23" s="83">
        <v>2</v>
      </c>
      <c r="J23" s="83">
        <v>2</v>
      </c>
      <c r="K23" s="16">
        <v>1</v>
      </c>
      <c r="L23" s="16">
        <v>1</v>
      </c>
      <c r="M23" s="17">
        <v>1</v>
      </c>
      <c r="N23" s="83">
        <v>3</v>
      </c>
      <c r="O23" s="18">
        <v>0</v>
      </c>
      <c r="P23" s="18">
        <v>0</v>
      </c>
      <c r="Q23" s="18">
        <v>0</v>
      </c>
      <c r="R23" s="18">
        <v>0</v>
      </c>
      <c r="S23" s="18">
        <v>0</v>
      </c>
      <c r="T23" s="18">
        <v>0</v>
      </c>
      <c r="U23" s="163">
        <f t="shared" ref="U23:U37" si="1">SUM(D23:T23)</f>
        <v>15</v>
      </c>
    </row>
    <row r="24" spans="1:27" x14ac:dyDescent="0.25">
      <c r="A24" t="s">
        <v>124</v>
      </c>
      <c r="B24" s="3" t="s">
        <v>130</v>
      </c>
      <c r="C24" s="18">
        <f t="shared" ref="C24:C40" si="2">SUM(D24:T24)</f>
        <v>19</v>
      </c>
      <c r="D24" s="16">
        <v>1</v>
      </c>
      <c r="E24" s="16">
        <v>1</v>
      </c>
      <c r="F24" s="16">
        <v>1</v>
      </c>
      <c r="G24" s="83">
        <v>2</v>
      </c>
      <c r="H24" s="16">
        <v>1</v>
      </c>
      <c r="I24" s="16">
        <v>1</v>
      </c>
      <c r="J24" s="16">
        <v>1</v>
      </c>
      <c r="K24" s="16">
        <v>1</v>
      </c>
      <c r="L24" s="16">
        <v>1</v>
      </c>
      <c r="M24" s="16">
        <v>1</v>
      </c>
      <c r="N24" s="16">
        <v>1</v>
      </c>
      <c r="O24" s="16">
        <v>1</v>
      </c>
      <c r="P24" s="16">
        <v>1</v>
      </c>
      <c r="Q24" s="83">
        <v>2</v>
      </c>
      <c r="R24" s="83">
        <v>2</v>
      </c>
      <c r="S24" s="143">
        <v>1</v>
      </c>
      <c r="T24" s="5">
        <v>0</v>
      </c>
      <c r="U24" s="163">
        <f t="shared" si="1"/>
        <v>19</v>
      </c>
      <c r="V24" t="s">
        <v>223</v>
      </c>
    </row>
    <row r="25" spans="1:27" x14ac:dyDescent="0.25">
      <c r="A25" t="s">
        <v>126</v>
      </c>
      <c r="B25" s="84" t="s">
        <v>131</v>
      </c>
      <c r="C25" s="18">
        <f t="shared" si="2"/>
        <v>17</v>
      </c>
      <c r="D25" s="88">
        <v>1</v>
      </c>
      <c r="E25" s="88">
        <v>1</v>
      </c>
      <c r="F25" s="88">
        <v>1</v>
      </c>
      <c r="G25" s="88">
        <v>1</v>
      </c>
      <c r="H25" s="88">
        <v>1</v>
      </c>
      <c r="I25" s="88">
        <v>1</v>
      </c>
      <c r="J25" s="88">
        <v>1</v>
      </c>
      <c r="K25" s="89">
        <v>2</v>
      </c>
      <c r="L25" s="88">
        <v>1</v>
      </c>
      <c r="M25" s="89">
        <v>3</v>
      </c>
      <c r="N25" s="89">
        <v>2</v>
      </c>
      <c r="O25" s="88">
        <v>1</v>
      </c>
      <c r="P25" s="88">
        <v>1</v>
      </c>
      <c r="Q25" s="18">
        <v>0</v>
      </c>
      <c r="R25" s="18">
        <v>0</v>
      </c>
      <c r="S25" s="18">
        <v>0</v>
      </c>
      <c r="T25" s="5">
        <v>0</v>
      </c>
      <c r="U25" s="163">
        <f t="shared" si="1"/>
        <v>17</v>
      </c>
    </row>
    <row r="26" spans="1:27" x14ac:dyDescent="0.25">
      <c r="A26" t="s">
        <v>126</v>
      </c>
      <c r="B26" s="84" t="s">
        <v>132</v>
      </c>
      <c r="C26" s="18">
        <f t="shared" si="2"/>
        <v>16</v>
      </c>
      <c r="D26" s="88">
        <v>1</v>
      </c>
      <c r="E26" s="88">
        <v>1</v>
      </c>
      <c r="F26" s="88">
        <v>1</v>
      </c>
      <c r="G26" s="88">
        <v>1</v>
      </c>
      <c r="H26" s="88">
        <v>1</v>
      </c>
      <c r="I26" s="88">
        <v>1</v>
      </c>
      <c r="J26" s="88">
        <v>1</v>
      </c>
      <c r="K26" s="89">
        <v>2</v>
      </c>
      <c r="L26" s="88">
        <v>1</v>
      </c>
      <c r="M26" s="88">
        <v>1</v>
      </c>
      <c r="N26" s="89">
        <v>3</v>
      </c>
      <c r="O26" s="89">
        <v>2</v>
      </c>
      <c r="P26" s="18">
        <v>0</v>
      </c>
      <c r="Q26" s="18">
        <v>0</v>
      </c>
      <c r="R26" s="18">
        <v>0</v>
      </c>
      <c r="S26" s="18">
        <v>0</v>
      </c>
      <c r="T26" s="5">
        <v>0</v>
      </c>
      <c r="U26" s="163">
        <f t="shared" si="1"/>
        <v>16</v>
      </c>
    </row>
    <row r="27" spans="1:27" x14ac:dyDescent="0.25">
      <c r="A27" t="s">
        <v>126</v>
      </c>
      <c r="B27" s="84" t="s">
        <v>133</v>
      </c>
      <c r="C27" s="18">
        <f t="shared" si="2"/>
        <v>16</v>
      </c>
      <c r="D27" s="88">
        <v>1</v>
      </c>
      <c r="E27" s="88">
        <v>1</v>
      </c>
      <c r="F27" s="88">
        <v>1</v>
      </c>
      <c r="G27" s="89">
        <v>2</v>
      </c>
      <c r="H27" s="88">
        <v>1</v>
      </c>
      <c r="I27" s="88">
        <v>1</v>
      </c>
      <c r="J27" s="89">
        <v>3</v>
      </c>
      <c r="K27" s="89">
        <v>2</v>
      </c>
      <c r="L27" s="89">
        <v>2</v>
      </c>
      <c r="M27" s="88">
        <v>1</v>
      </c>
      <c r="N27" s="88">
        <v>1</v>
      </c>
      <c r="O27" s="18">
        <v>0</v>
      </c>
      <c r="P27" s="18">
        <v>0</v>
      </c>
      <c r="Q27" s="18">
        <v>0</v>
      </c>
      <c r="R27" s="18">
        <v>0</v>
      </c>
      <c r="S27" s="18">
        <v>0</v>
      </c>
      <c r="T27" s="5">
        <v>0</v>
      </c>
      <c r="U27" s="163">
        <f t="shared" si="1"/>
        <v>16</v>
      </c>
    </row>
    <row r="28" spans="1:27" x14ac:dyDescent="0.25">
      <c r="A28" t="s">
        <v>126</v>
      </c>
      <c r="B28" s="84" t="s">
        <v>134</v>
      </c>
      <c r="C28" s="18">
        <f t="shared" si="2"/>
        <v>14</v>
      </c>
      <c r="D28" s="88">
        <v>1</v>
      </c>
      <c r="E28" s="88">
        <v>1</v>
      </c>
      <c r="F28" s="88">
        <v>1</v>
      </c>
      <c r="G28" s="88">
        <v>1</v>
      </c>
      <c r="H28" s="88">
        <v>1</v>
      </c>
      <c r="I28" s="88">
        <v>1</v>
      </c>
      <c r="J28" s="89">
        <v>2</v>
      </c>
      <c r="K28" s="88"/>
      <c r="L28" s="88">
        <v>1</v>
      </c>
      <c r="M28" s="88">
        <v>1</v>
      </c>
      <c r="N28" s="88">
        <v>1</v>
      </c>
      <c r="O28" s="88">
        <v>1</v>
      </c>
      <c r="P28" s="88">
        <v>1</v>
      </c>
      <c r="Q28" s="88">
        <v>1</v>
      </c>
      <c r="R28" s="18">
        <v>0</v>
      </c>
      <c r="S28" s="18">
        <v>0</v>
      </c>
      <c r="T28" s="18">
        <v>0</v>
      </c>
      <c r="U28" s="163">
        <f t="shared" si="1"/>
        <v>14</v>
      </c>
    </row>
    <row r="29" spans="1:27" x14ac:dyDescent="0.25">
      <c r="A29" t="s">
        <v>127</v>
      </c>
      <c r="B29" s="84" t="s">
        <v>135</v>
      </c>
      <c r="C29" s="18">
        <f t="shared" si="2"/>
        <v>19</v>
      </c>
      <c r="D29" s="88">
        <v>1</v>
      </c>
      <c r="E29" s="88">
        <v>1</v>
      </c>
      <c r="F29" s="88">
        <v>1</v>
      </c>
      <c r="G29" s="88">
        <v>1</v>
      </c>
      <c r="H29" s="89">
        <v>2</v>
      </c>
      <c r="I29" s="88">
        <v>1</v>
      </c>
      <c r="J29" s="89">
        <v>2</v>
      </c>
      <c r="K29" s="88">
        <v>1</v>
      </c>
      <c r="L29" s="88">
        <v>1</v>
      </c>
      <c r="M29" s="88">
        <v>1</v>
      </c>
      <c r="N29" s="88">
        <v>1</v>
      </c>
      <c r="O29" s="88">
        <v>1</v>
      </c>
      <c r="P29" s="88">
        <v>1</v>
      </c>
      <c r="Q29" s="88">
        <v>1</v>
      </c>
      <c r="R29" s="89">
        <v>2</v>
      </c>
      <c r="S29" s="88">
        <v>1</v>
      </c>
      <c r="T29" s="87">
        <v>0</v>
      </c>
      <c r="U29" s="163">
        <f t="shared" si="1"/>
        <v>19</v>
      </c>
    </row>
    <row r="30" spans="1:27" x14ac:dyDescent="0.25">
      <c r="A30" t="s">
        <v>127</v>
      </c>
      <c r="B30" s="84" t="s">
        <v>136</v>
      </c>
      <c r="C30" s="18">
        <f t="shared" si="2"/>
        <v>16</v>
      </c>
      <c r="D30" s="88">
        <v>1</v>
      </c>
      <c r="E30" s="88">
        <v>1</v>
      </c>
      <c r="F30" s="88">
        <v>1</v>
      </c>
      <c r="G30" s="88">
        <v>1</v>
      </c>
      <c r="H30" s="89">
        <v>2</v>
      </c>
      <c r="I30" s="88">
        <v>1</v>
      </c>
      <c r="J30" s="89">
        <v>2</v>
      </c>
      <c r="K30" s="88">
        <v>1</v>
      </c>
      <c r="L30" s="89">
        <v>2</v>
      </c>
      <c r="M30" s="88">
        <v>1</v>
      </c>
      <c r="N30" s="88">
        <v>1</v>
      </c>
      <c r="O30" s="89">
        <v>2</v>
      </c>
      <c r="P30" s="18">
        <v>0</v>
      </c>
      <c r="Q30" s="18">
        <v>0</v>
      </c>
      <c r="R30" s="18">
        <v>0</v>
      </c>
      <c r="S30" s="18">
        <v>0</v>
      </c>
      <c r="T30" s="5">
        <v>0</v>
      </c>
      <c r="U30" s="163">
        <f t="shared" si="1"/>
        <v>16</v>
      </c>
    </row>
    <row r="31" spans="1:27" x14ac:dyDescent="0.25">
      <c r="A31" t="s">
        <v>127</v>
      </c>
      <c r="B31" s="84" t="s">
        <v>137</v>
      </c>
      <c r="C31" s="18">
        <f t="shared" si="2"/>
        <v>15</v>
      </c>
      <c r="D31" s="88">
        <v>1</v>
      </c>
      <c r="E31" s="88">
        <v>1</v>
      </c>
      <c r="F31" s="89">
        <v>2</v>
      </c>
      <c r="G31" s="88">
        <v>1</v>
      </c>
      <c r="H31" s="88">
        <v>1</v>
      </c>
      <c r="I31" s="88">
        <v>1</v>
      </c>
      <c r="J31" s="88">
        <v>1</v>
      </c>
      <c r="K31" s="88">
        <v>1</v>
      </c>
      <c r="L31" s="88">
        <v>1</v>
      </c>
      <c r="M31" s="88">
        <v>1</v>
      </c>
      <c r="N31" s="89">
        <v>2</v>
      </c>
      <c r="O31" s="89">
        <v>2</v>
      </c>
      <c r="P31" s="18">
        <v>0</v>
      </c>
      <c r="Q31" s="18">
        <v>0</v>
      </c>
      <c r="R31" s="18">
        <v>0</v>
      </c>
      <c r="S31" s="18">
        <v>0</v>
      </c>
      <c r="T31" s="5">
        <v>0</v>
      </c>
      <c r="U31" s="163">
        <f t="shared" si="1"/>
        <v>15</v>
      </c>
    </row>
    <row r="32" spans="1:27" x14ac:dyDescent="0.25">
      <c r="A32" t="s">
        <v>127</v>
      </c>
      <c r="B32" s="84" t="s">
        <v>102</v>
      </c>
      <c r="C32" s="18">
        <f t="shared" si="2"/>
        <v>18</v>
      </c>
      <c r="D32" s="88">
        <v>1</v>
      </c>
      <c r="E32" s="88">
        <v>1</v>
      </c>
      <c r="F32" s="88">
        <v>1</v>
      </c>
      <c r="G32" s="88">
        <v>1</v>
      </c>
      <c r="H32" s="88">
        <v>1</v>
      </c>
      <c r="I32" s="88">
        <v>1</v>
      </c>
      <c r="J32" s="88">
        <v>1</v>
      </c>
      <c r="K32" s="89">
        <v>2</v>
      </c>
      <c r="L32" s="88">
        <v>1</v>
      </c>
      <c r="M32" s="88">
        <v>1</v>
      </c>
      <c r="N32" s="88">
        <v>1</v>
      </c>
      <c r="O32" s="89">
        <v>2</v>
      </c>
      <c r="P32" s="89">
        <v>3</v>
      </c>
      <c r="Q32" s="88">
        <v>1</v>
      </c>
      <c r="R32" s="16">
        <v>0</v>
      </c>
      <c r="S32" s="16">
        <v>0</v>
      </c>
      <c r="T32" s="18">
        <v>0</v>
      </c>
      <c r="U32" s="163">
        <f t="shared" si="1"/>
        <v>18</v>
      </c>
    </row>
    <row r="33" spans="1:27" x14ac:dyDescent="0.25">
      <c r="A33" t="s">
        <v>163</v>
      </c>
      <c r="B33" s="84" t="s">
        <v>164</v>
      </c>
      <c r="C33" s="18">
        <f t="shared" si="2"/>
        <v>16</v>
      </c>
      <c r="D33" s="88">
        <v>1</v>
      </c>
      <c r="E33" s="88">
        <v>1</v>
      </c>
      <c r="F33" s="88">
        <v>1</v>
      </c>
      <c r="G33" s="88">
        <v>1</v>
      </c>
      <c r="H33" s="88">
        <v>1</v>
      </c>
      <c r="I33" s="88">
        <v>1</v>
      </c>
      <c r="J33" s="89">
        <v>2</v>
      </c>
      <c r="K33" s="132">
        <v>1</v>
      </c>
      <c r="L33" s="89">
        <v>2</v>
      </c>
      <c r="M33" s="88">
        <v>1</v>
      </c>
      <c r="N33" s="88">
        <v>1</v>
      </c>
      <c r="O33" s="89">
        <v>2</v>
      </c>
      <c r="P33" s="132">
        <v>1</v>
      </c>
      <c r="Q33" s="87">
        <v>0</v>
      </c>
      <c r="R33" s="18">
        <v>0</v>
      </c>
      <c r="S33" s="18">
        <v>0</v>
      </c>
      <c r="T33" s="18">
        <v>0</v>
      </c>
      <c r="U33" s="163">
        <f>SUM(D33:T33)</f>
        <v>16</v>
      </c>
    </row>
    <row r="34" spans="1:27" x14ac:dyDescent="0.25">
      <c r="A34" t="s">
        <v>163</v>
      </c>
      <c r="B34" s="84" t="s">
        <v>166</v>
      </c>
      <c r="C34" s="18">
        <f t="shared" si="2"/>
        <v>19</v>
      </c>
      <c r="D34" s="88">
        <v>1</v>
      </c>
      <c r="E34" s="88">
        <v>1</v>
      </c>
      <c r="F34" s="88">
        <v>1</v>
      </c>
      <c r="G34" s="88">
        <v>1</v>
      </c>
      <c r="H34" s="88">
        <v>1</v>
      </c>
      <c r="I34" s="89">
        <v>2</v>
      </c>
      <c r="J34" s="88">
        <v>1</v>
      </c>
      <c r="K34" s="132">
        <v>1</v>
      </c>
      <c r="L34" s="88">
        <v>1</v>
      </c>
      <c r="M34" s="88">
        <v>1</v>
      </c>
      <c r="N34" s="88">
        <v>1</v>
      </c>
      <c r="O34" s="132">
        <v>1</v>
      </c>
      <c r="P34" s="89">
        <v>3</v>
      </c>
      <c r="Q34" s="88">
        <v>1</v>
      </c>
      <c r="R34" s="16">
        <v>1</v>
      </c>
      <c r="S34" s="16">
        <v>1</v>
      </c>
      <c r="T34" s="18">
        <v>0</v>
      </c>
      <c r="U34" s="163">
        <f t="shared" si="1"/>
        <v>19</v>
      </c>
    </row>
    <row r="35" spans="1:27" x14ac:dyDescent="0.25">
      <c r="A35" t="s">
        <v>163</v>
      </c>
      <c r="B35" s="84" t="s">
        <v>168</v>
      </c>
      <c r="C35" s="18">
        <f t="shared" si="2"/>
        <v>17</v>
      </c>
      <c r="D35" s="89">
        <v>2</v>
      </c>
      <c r="E35" s="88">
        <v>1</v>
      </c>
      <c r="F35" s="132">
        <v>1</v>
      </c>
      <c r="G35" s="88">
        <v>1</v>
      </c>
      <c r="H35" s="88">
        <v>1</v>
      </c>
      <c r="I35" s="88">
        <v>1</v>
      </c>
      <c r="J35" s="89">
        <v>2</v>
      </c>
      <c r="K35" s="132">
        <v>1</v>
      </c>
      <c r="L35" s="88">
        <v>1</v>
      </c>
      <c r="M35" s="89">
        <v>2</v>
      </c>
      <c r="N35" s="88">
        <v>1</v>
      </c>
      <c r="O35" s="89">
        <v>3</v>
      </c>
      <c r="P35" s="89">
        <v>0</v>
      </c>
      <c r="Q35" s="87">
        <v>0</v>
      </c>
      <c r="R35" s="18">
        <v>0</v>
      </c>
      <c r="S35" s="18">
        <v>0</v>
      </c>
      <c r="T35" s="18">
        <v>0</v>
      </c>
      <c r="U35" s="163">
        <f t="shared" si="1"/>
        <v>17</v>
      </c>
    </row>
    <row r="36" spans="1:27" x14ac:dyDescent="0.25">
      <c r="A36" t="s">
        <v>163</v>
      </c>
      <c r="B36" s="84" t="s">
        <v>169</v>
      </c>
      <c r="C36" s="18">
        <f t="shared" si="2"/>
        <v>21</v>
      </c>
      <c r="D36" s="88">
        <v>1</v>
      </c>
      <c r="E36" s="89">
        <v>2</v>
      </c>
      <c r="F36" s="89">
        <v>2</v>
      </c>
      <c r="G36" s="88">
        <v>1</v>
      </c>
      <c r="H36" s="88">
        <v>1</v>
      </c>
      <c r="I36" s="88">
        <v>1</v>
      </c>
      <c r="J36" s="89">
        <v>2</v>
      </c>
      <c r="K36" s="132">
        <v>1</v>
      </c>
      <c r="L36" s="88">
        <v>1</v>
      </c>
      <c r="M36" s="88">
        <v>1</v>
      </c>
      <c r="N36" s="89">
        <v>3</v>
      </c>
      <c r="O36" s="132">
        <v>1</v>
      </c>
      <c r="P36" s="132">
        <v>1</v>
      </c>
      <c r="Q36" s="88">
        <v>1</v>
      </c>
      <c r="R36" s="16">
        <v>1</v>
      </c>
      <c r="S36" s="16">
        <v>1</v>
      </c>
      <c r="T36" s="18">
        <v>0</v>
      </c>
      <c r="U36" s="163">
        <f t="shared" si="1"/>
        <v>21</v>
      </c>
    </row>
    <row r="37" spans="1:27" x14ac:dyDescent="0.25">
      <c r="A37" t="s">
        <v>170</v>
      </c>
      <c r="B37" s="84" t="s">
        <v>202</v>
      </c>
      <c r="C37" s="18">
        <f t="shared" si="2"/>
        <v>18</v>
      </c>
      <c r="D37" s="88">
        <v>1</v>
      </c>
      <c r="E37" s="132">
        <v>1</v>
      </c>
      <c r="F37" s="132">
        <v>1</v>
      </c>
      <c r="G37" s="88">
        <v>1</v>
      </c>
      <c r="H37" s="89">
        <v>2</v>
      </c>
      <c r="I37" s="88">
        <v>1</v>
      </c>
      <c r="J37" s="132">
        <v>1</v>
      </c>
      <c r="K37" s="132">
        <v>1</v>
      </c>
      <c r="L37" s="88">
        <v>1</v>
      </c>
      <c r="M37" s="88">
        <v>1</v>
      </c>
      <c r="N37" s="132">
        <v>1</v>
      </c>
      <c r="O37" s="132">
        <v>1</v>
      </c>
      <c r="P37" s="89">
        <v>2</v>
      </c>
      <c r="Q37" s="88">
        <v>1</v>
      </c>
      <c r="R37" s="83">
        <v>2</v>
      </c>
      <c r="S37" s="18">
        <v>0</v>
      </c>
      <c r="T37" s="18">
        <v>0</v>
      </c>
      <c r="U37" s="163">
        <f t="shared" si="1"/>
        <v>18</v>
      </c>
    </row>
    <row r="38" spans="1:27" x14ac:dyDescent="0.25">
      <c r="A38" t="s">
        <v>170</v>
      </c>
      <c r="B38" s="84" t="s">
        <v>203</v>
      </c>
      <c r="C38" s="18">
        <f t="shared" si="2"/>
        <v>19</v>
      </c>
      <c r="D38" s="88">
        <v>1</v>
      </c>
      <c r="E38" s="132">
        <v>1</v>
      </c>
      <c r="F38" s="132">
        <v>1</v>
      </c>
      <c r="G38" s="88">
        <v>1</v>
      </c>
      <c r="H38" s="88">
        <v>1</v>
      </c>
      <c r="I38" s="88">
        <v>1</v>
      </c>
      <c r="J38" s="132">
        <v>1</v>
      </c>
      <c r="K38" s="132">
        <v>1</v>
      </c>
      <c r="L38" s="89">
        <v>2</v>
      </c>
      <c r="M38" s="88">
        <v>1</v>
      </c>
      <c r="N38" s="132">
        <v>1</v>
      </c>
      <c r="O38" s="89">
        <v>2</v>
      </c>
      <c r="P38" s="132">
        <v>1</v>
      </c>
      <c r="Q38" s="88">
        <v>1</v>
      </c>
      <c r="R38" s="16">
        <v>1</v>
      </c>
      <c r="S38" s="16">
        <v>1</v>
      </c>
      <c r="T38" s="83">
        <v>1</v>
      </c>
      <c r="U38" s="163">
        <f>SUM(D38:T38)</f>
        <v>19</v>
      </c>
      <c r="V38" t="s">
        <v>223</v>
      </c>
    </row>
    <row r="39" spans="1:27" x14ac:dyDescent="0.25">
      <c r="A39" t="s">
        <v>170</v>
      </c>
      <c r="B39" s="84" t="s">
        <v>200</v>
      </c>
      <c r="C39" s="18">
        <f t="shared" si="2"/>
        <v>16</v>
      </c>
      <c r="D39" s="88">
        <v>1</v>
      </c>
      <c r="E39" s="88">
        <v>1</v>
      </c>
      <c r="F39" s="88">
        <v>1</v>
      </c>
      <c r="G39" s="88">
        <v>1</v>
      </c>
      <c r="H39" s="88">
        <v>1</v>
      </c>
      <c r="I39" s="88">
        <v>1</v>
      </c>
      <c r="J39" s="89">
        <v>2</v>
      </c>
      <c r="K39" s="132">
        <v>1</v>
      </c>
      <c r="L39" s="89">
        <v>2</v>
      </c>
      <c r="M39" s="88">
        <v>1</v>
      </c>
      <c r="N39" s="88">
        <v>1</v>
      </c>
      <c r="O39" s="89">
        <v>2</v>
      </c>
      <c r="P39" s="132">
        <v>1</v>
      </c>
      <c r="Q39" s="87">
        <v>0</v>
      </c>
      <c r="R39" s="18">
        <v>0</v>
      </c>
      <c r="S39" s="18">
        <v>0</v>
      </c>
      <c r="T39" s="170">
        <v>0</v>
      </c>
      <c r="U39" s="163">
        <f t="shared" ref="U39:U40" si="3">SUM(D39:T39)</f>
        <v>16</v>
      </c>
      <c r="V39" t="s">
        <v>228</v>
      </c>
    </row>
    <row r="40" spans="1:27" x14ac:dyDescent="0.25">
      <c r="A40" t="s">
        <v>170</v>
      </c>
      <c r="B40" s="84" t="s">
        <v>201</v>
      </c>
      <c r="C40" s="18">
        <f t="shared" si="2"/>
        <v>17</v>
      </c>
      <c r="D40" s="89">
        <v>2</v>
      </c>
      <c r="E40" s="88">
        <v>1</v>
      </c>
      <c r="F40" s="132">
        <v>1</v>
      </c>
      <c r="G40" s="88">
        <v>1</v>
      </c>
      <c r="H40" s="88">
        <v>1</v>
      </c>
      <c r="I40" s="88">
        <v>1</v>
      </c>
      <c r="J40" s="89">
        <v>2</v>
      </c>
      <c r="K40" s="132">
        <v>1</v>
      </c>
      <c r="L40" s="88">
        <v>1</v>
      </c>
      <c r="M40" s="89">
        <v>2</v>
      </c>
      <c r="N40" s="88">
        <v>1</v>
      </c>
      <c r="O40" s="89">
        <v>3</v>
      </c>
      <c r="P40" s="171">
        <v>0</v>
      </c>
      <c r="Q40" s="87">
        <v>0</v>
      </c>
      <c r="R40" s="18">
        <v>0</v>
      </c>
      <c r="S40" s="18">
        <v>0</v>
      </c>
      <c r="T40" s="170">
        <v>0</v>
      </c>
      <c r="U40" s="163">
        <f t="shared" si="3"/>
        <v>17</v>
      </c>
    </row>
    <row r="41" spans="1:27" x14ac:dyDescent="0.25">
      <c r="V41" s="162" t="s">
        <v>226</v>
      </c>
      <c r="W41" t="s">
        <v>227</v>
      </c>
    </row>
    <row r="43" spans="1:27" x14ac:dyDescent="0.25">
      <c r="A43" t="s">
        <v>123</v>
      </c>
      <c r="B43" s="92" t="s">
        <v>206</v>
      </c>
      <c r="C43" s="5">
        <v>0</v>
      </c>
      <c r="D43" s="5">
        <v>1</v>
      </c>
      <c r="E43" s="5">
        <v>2</v>
      </c>
      <c r="F43" s="5">
        <v>3</v>
      </c>
      <c r="G43" s="5">
        <v>4</v>
      </c>
      <c r="H43" s="5">
        <v>5</v>
      </c>
      <c r="I43" s="5">
        <v>6</v>
      </c>
      <c r="J43" s="5">
        <v>7</v>
      </c>
      <c r="K43" s="5">
        <v>8</v>
      </c>
      <c r="L43" s="5">
        <v>9</v>
      </c>
      <c r="M43" s="5">
        <v>10</v>
      </c>
      <c r="N43" s="5">
        <v>11</v>
      </c>
      <c r="O43" s="5">
        <v>12</v>
      </c>
      <c r="P43" s="5">
        <v>13</v>
      </c>
      <c r="Q43" s="5">
        <v>14</v>
      </c>
      <c r="R43" s="5">
        <v>15</v>
      </c>
      <c r="S43" s="5">
        <v>16</v>
      </c>
      <c r="T43" s="5">
        <v>17</v>
      </c>
      <c r="U43" s="5">
        <v>18</v>
      </c>
      <c r="V43" s="5">
        <v>19</v>
      </c>
      <c r="W43" s="5">
        <v>20</v>
      </c>
      <c r="X43" s="5">
        <v>21</v>
      </c>
      <c r="Y43" s="5" t="s">
        <v>122</v>
      </c>
      <c r="Z43" t="s">
        <v>123</v>
      </c>
      <c r="AA43" t="s">
        <v>229</v>
      </c>
    </row>
    <row r="44" spans="1:27" ht="15.75" thickBot="1" x14ac:dyDescent="0.3">
      <c r="A44" t="s">
        <v>124</v>
      </c>
      <c r="B44" s="3" t="s">
        <v>35</v>
      </c>
      <c r="C44" s="5">
        <v>11</v>
      </c>
      <c r="D44" s="8">
        <v>53.7</v>
      </c>
      <c r="E44" s="8">
        <v>86.9</v>
      </c>
      <c r="F44" s="8">
        <v>38.299999999999997</v>
      </c>
      <c r="G44" s="8">
        <v>90.9</v>
      </c>
      <c r="H44" s="8">
        <v>89.1</v>
      </c>
      <c r="I44" s="134">
        <f>((I2-J2)+(J2*2))/2</f>
        <v>52.9</v>
      </c>
      <c r="J44" s="134">
        <f>((K2-L2))+(L2*2)/2</f>
        <v>67</v>
      </c>
      <c r="K44" s="81" t="str">
        <f>M2</f>
        <v>(25,2)</v>
      </c>
      <c r="L44" s="8">
        <f>N2</f>
        <v>95.9</v>
      </c>
      <c r="M44" s="82">
        <f>O2</f>
        <v>57.8</v>
      </c>
      <c r="N44" s="134">
        <f>((P2-Q2)+((Q2-R2)*2)+(R2*3))/3</f>
        <v>33.133333333333333</v>
      </c>
      <c r="O44" s="8"/>
      <c r="P44" s="8"/>
      <c r="Q44" s="8"/>
      <c r="R44" s="8"/>
      <c r="Y44" s="14">
        <f>SUM(D44:R44)/C44</f>
        <v>60.512121212121208</v>
      </c>
      <c r="Z44" t="s">
        <v>214</v>
      </c>
      <c r="AA44" s="8">
        <f>Y2</f>
        <v>54.013333333333328</v>
      </c>
    </row>
    <row r="45" spans="1:27" ht="16.5" thickTop="1" thickBot="1" x14ac:dyDescent="0.3">
      <c r="A45" t="s">
        <v>124</v>
      </c>
      <c r="B45" s="3" t="s">
        <v>130</v>
      </c>
      <c r="C45" s="5">
        <v>15</v>
      </c>
      <c r="D45" s="8">
        <v>75.8</v>
      </c>
      <c r="E45" s="8">
        <v>64</v>
      </c>
      <c r="F45" s="8">
        <v>82</v>
      </c>
      <c r="G45" s="134">
        <f>(H3+G3)/2</f>
        <v>59.05</v>
      </c>
      <c r="H45" s="8">
        <f>I3</f>
        <v>57.5</v>
      </c>
      <c r="I45" s="8">
        <f>J3</f>
        <v>80</v>
      </c>
      <c r="J45" s="8">
        <f t="shared" ref="J45:P45" si="4">K3</f>
        <v>53.5</v>
      </c>
      <c r="K45" s="8">
        <f t="shared" si="4"/>
        <v>69</v>
      </c>
      <c r="L45" s="8">
        <f t="shared" si="4"/>
        <v>56.2</v>
      </c>
      <c r="M45" s="8">
        <f t="shared" si="4"/>
        <v>55</v>
      </c>
      <c r="N45" s="8">
        <f t="shared" si="4"/>
        <v>69.099999999999994</v>
      </c>
      <c r="O45" s="8">
        <f t="shared" si="4"/>
        <v>25.2</v>
      </c>
      <c r="P45" s="8">
        <f t="shared" si="4"/>
        <v>80.7</v>
      </c>
      <c r="Q45" s="134">
        <f>(R3+S3)/2</f>
        <v>30.199999999999996</v>
      </c>
      <c r="R45" s="134">
        <f>(T3+U3)/2</f>
        <v>50</v>
      </c>
      <c r="S45" s="8"/>
      <c r="T45" s="8"/>
      <c r="U45" s="8"/>
      <c r="Y45" s="14">
        <f>SUM(D45:U45)/C45</f>
        <v>60.483333333333348</v>
      </c>
      <c r="Z45" t="s">
        <v>214</v>
      </c>
      <c r="AA45" s="8">
        <f t="shared" ref="AA45:AA61" si="5">Y3</f>
        <v>55.078947368421055</v>
      </c>
    </row>
    <row r="46" spans="1:27" ht="16.5" thickTop="1" thickBot="1" x14ac:dyDescent="0.3">
      <c r="A46" t="s">
        <v>126</v>
      </c>
      <c r="B46" s="84" t="s">
        <v>131</v>
      </c>
      <c r="C46" s="85">
        <v>13</v>
      </c>
      <c r="D46" s="86">
        <v>80.5</v>
      </c>
      <c r="E46" s="86">
        <v>53.5</v>
      </c>
      <c r="F46" s="86">
        <v>87.3</v>
      </c>
      <c r="G46" s="86">
        <v>78.8</v>
      </c>
      <c r="H46" s="86">
        <v>82.1</v>
      </c>
      <c r="I46" s="86">
        <v>69.5</v>
      </c>
      <c r="J46" s="86">
        <v>89.6</v>
      </c>
      <c r="K46" s="134">
        <f>(K4+L4)/2</f>
        <v>55.900000000000006</v>
      </c>
      <c r="L46" s="86">
        <f>M4</f>
        <v>59.4</v>
      </c>
      <c r="M46" s="134">
        <f>(N4+O4+P4)/3</f>
        <v>60.033333333333339</v>
      </c>
      <c r="N46" s="134">
        <f>(Q4+R4)/2</f>
        <v>60.400000000000006</v>
      </c>
      <c r="O46" s="86">
        <f>S4</f>
        <v>58</v>
      </c>
      <c r="P46" s="86">
        <f>T4</f>
        <v>45.6</v>
      </c>
      <c r="Q46" s="86"/>
      <c r="R46" s="86"/>
      <c r="S46" s="86"/>
      <c r="T46" s="86"/>
      <c r="Y46" s="15">
        <f>SUM(D46:T46)/C46</f>
        <v>67.741025641025644</v>
      </c>
      <c r="Z46" t="s">
        <v>215</v>
      </c>
      <c r="AA46" s="8">
        <f t="shared" si="5"/>
        <v>65.705882352941174</v>
      </c>
    </row>
    <row r="47" spans="1:27" ht="16.5" thickTop="1" thickBot="1" x14ac:dyDescent="0.3">
      <c r="A47" t="s">
        <v>126</v>
      </c>
      <c r="B47" s="84" t="s">
        <v>132</v>
      </c>
      <c r="C47" s="85">
        <v>12</v>
      </c>
      <c r="D47" s="86">
        <v>57</v>
      </c>
      <c r="E47" s="86">
        <v>91.5</v>
      </c>
      <c r="F47" s="86">
        <v>72.900000000000006</v>
      </c>
      <c r="G47" s="86">
        <v>64.599999999999994</v>
      </c>
      <c r="H47" s="86">
        <v>82.7</v>
      </c>
      <c r="I47" s="86">
        <v>76.8</v>
      </c>
      <c r="J47" s="86">
        <v>86.8</v>
      </c>
      <c r="K47" s="134">
        <f>(K5+L5)/2</f>
        <v>68</v>
      </c>
      <c r="L47" s="86">
        <f>M5</f>
        <v>80.599999999999994</v>
      </c>
      <c r="M47" s="86">
        <f>N5</f>
        <v>79.400000000000006</v>
      </c>
      <c r="N47" s="134">
        <f>(O5+P5+Q5)/3</f>
        <v>38.800000000000004</v>
      </c>
      <c r="O47" s="134">
        <f>(R5+S5)/2</f>
        <v>67.25</v>
      </c>
      <c r="P47" s="86"/>
      <c r="Q47" s="86"/>
      <c r="R47" s="86"/>
      <c r="S47" s="86"/>
      <c r="Y47" s="15">
        <f>SUM(D47:S47)/C47</f>
        <v>72.195833333333326</v>
      </c>
      <c r="Z47" t="s">
        <v>215</v>
      </c>
      <c r="AA47" s="8">
        <f t="shared" si="5"/>
        <v>67.45</v>
      </c>
    </row>
    <row r="48" spans="1:27" ht="16.5" thickTop="1" thickBot="1" x14ac:dyDescent="0.3">
      <c r="A48" t="s">
        <v>126</v>
      </c>
      <c r="B48" s="84" t="s">
        <v>133</v>
      </c>
      <c r="C48" s="85">
        <v>11</v>
      </c>
      <c r="D48" s="86">
        <v>82.4</v>
      </c>
      <c r="E48" s="86">
        <v>66.2</v>
      </c>
      <c r="F48" s="86">
        <v>85.4</v>
      </c>
      <c r="G48" s="134">
        <f>(G6+H6)/2</f>
        <v>54.7</v>
      </c>
      <c r="H48" s="86">
        <f>I6</f>
        <v>93.1</v>
      </c>
      <c r="I48" s="86">
        <f>J6</f>
        <v>94.9</v>
      </c>
      <c r="J48" s="134">
        <f>(K6+L6+M6)/3</f>
        <v>62.733333333333327</v>
      </c>
      <c r="K48" s="134">
        <f>(N6+O6)/2</f>
        <v>68.099999999999994</v>
      </c>
      <c r="L48" s="134">
        <f>(P6+Q6)/2</f>
        <v>62.400000000000006</v>
      </c>
      <c r="M48" s="86">
        <f>R6</f>
        <v>76.3</v>
      </c>
      <c r="N48" s="86">
        <f>S6</f>
        <v>58.5</v>
      </c>
      <c r="O48" s="86"/>
      <c r="P48" s="86"/>
      <c r="Q48" s="86"/>
      <c r="R48" s="86"/>
      <c r="S48" s="86"/>
      <c r="Y48" s="15">
        <f>SUM(D48:S48)/C48</f>
        <v>73.157575757575756</v>
      </c>
      <c r="Z48" t="s">
        <v>215</v>
      </c>
      <c r="AA48" s="8">
        <f t="shared" si="5"/>
        <v>69.712500000000006</v>
      </c>
    </row>
    <row r="49" spans="1:27" ht="16.5" thickTop="1" thickBot="1" x14ac:dyDescent="0.3">
      <c r="A49" t="s">
        <v>126</v>
      </c>
      <c r="B49" s="84" t="s">
        <v>134</v>
      </c>
      <c r="C49" s="85">
        <v>13</v>
      </c>
      <c r="D49" s="86">
        <f>D7</f>
        <v>77.400000000000006</v>
      </c>
      <c r="E49" s="86">
        <f t="shared" ref="E49:I49" si="6">E7</f>
        <v>91.7</v>
      </c>
      <c r="F49" s="86">
        <f t="shared" si="6"/>
        <v>84.6</v>
      </c>
      <c r="G49" s="86">
        <f t="shared" si="6"/>
        <v>77.900000000000006</v>
      </c>
      <c r="H49" s="86">
        <f t="shared" si="6"/>
        <v>56.2</v>
      </c>
      <c r="I49" s="86">
        <f t="shared" si="6"/>
        <v>91.6</v>
      </c>
      <c r="J49" s="134">
        <f>(J7+K7)/2</f>
        <v>37.35</v>
      </c>
      <c r="K49" s="153"/>
      <c r="L49" s="86">
        <f>M7</f>
        <v>58.7</v>
      </c>
      <c r="M49" s="86">
        <f t="shared" ref="M49:Q49" si="7">N7</f>
        <v>55.4</v>
      </c>
      <c r="N49" s="86">
        <f t="shared" si="7"/>
        <v>46</v>
      </c>
      <c r="O49" s="86">
        <f t="shared" si="7"/>
        <v>31</v>
      </c>
      <c r="P49" s="86">
        <f t="shared" si="7"/>
        <v>23.5</v>
      </c>
      <c r="Q49" s="86">
        <f t="shared" si="7"/>
        <v>51.1</v>
      </c>
      <c r="R49" s="86"/>
      <c r="Y49" s="15">
        <f>SUM(D49:R49)/C49</f>
        <v>60.188461538461539</v>
      </c>
      <c r="Z49" t="s">
        <v>215</v>
      </c>
      <c r="AA49" s="8">
        <f t="shared" si="5"/>
        <v>58.557142857142864</v>
      </c>
    </row>
    <row r="50" spans="1:27" ht="16.5" thickTop="1" thickBot="1" x14ac:dyDescent="0.3">
      <c r="A50" t="s">
        <v>127</v>
      </c>
      <c r="B50" s="84" t="s">
        <v>135</v>
      </c>
      <c r="C50" s="85">
        <v>16</v>
      </c>
      <c r="D50" s="91">
        <v>81.5</v>
      </c>
      <c r="E50" s="91">
        <v>84.4</v>
      </c>
      <c r="F50" s="91">
        <v>71.900000000000006</v>
      </c>
      <c r="G50" s="91">
        <v>43.5</v>
      </c>
      <c r="H50" s="135">
        <f>(H8+I8)/2</f>
        <v>32.700000000000003</v>
      </c>
      <c r="I50" s="86">
        <f>J8</f>
        <v>78</v>
      </c>
      <c r="J50" s="135">
        <f>(K8+L8)/2</f>
        <v>59.1</v>
      </c>
      <c r="K50" s="86">
        <f t="shared" ref="K50:Q50" si="8">M8</f>
        <v>87.7</v>
      </c>
      <c r="L50" s="86">
        <f t="shared" si="8"/>
        <v>82.6</v>
      </c>
      <c r="M50" s="86">
        <f t="shared" si="8"/>
        <v>88.4</v>
      </c>
      <c r="N50" s="86">
        <f t="shared" si="8"/>
        <v>83.8</v>
      </c>
      <c r="O50" s="86">
        <f t="shared" si="8"/>
        <v>66.400000000000006</v>
      </c>
      <c r="P50" s="86">
        <f t="shared" si="8"/>
        <v>88.7</v>
      </c>
      <c r="Q50" s="86">
        <f t="shared" si="8"/>
        <v>60.5</v>
      </c>
      <c r="R50" s="135">
        <f>(T8+U8)/2</f>
        <v>35.700000000000003</v>
      </c>
      <c r="S50" s="86">
        <f>V8</f>
        <v>46.2</v>
      </c>
      <c r="T50" s="91"/>
      <c r="U50" s="91"/>
      <c r="V50" s="91"/>
      <c r="W50" s="91"/>
      <c r="X50" s="91"/>
      <c r="Y50" s="15">
        <f>SUM(D50:V50)/C50</f>
        <v>68.193750000000009</v>
      </c>
      <c r="Z50" t="s">
        <v>216</v>
      </c>
      <c r="AA50" s="8">
        <f t="shared" si="5"/>
        <v>64.136842105263156</v>
      </c>
    </row>
    <row r="51" spans="1:27" ht="16.5" thickTop="1" thickBot="1" x14ac:dyDescent="0.3">
      <c r="A51" t="s">
        <v>127</v>
      </c>
      <c r="B51" s="84" t="s">
        <v>136</v>
      </c>
      <c r="C51" s="85">
        <v>12</v>
      </c>
      <c r="D51" s="86">
        <v>94.5</v>
      </c>
      <c r="E51" s="86">
        <v>86.4</v>
      </c>
      <c r="F51" s="86">
        <v>54.5</v>
      </c>
      <c r="G51" s="86">
        <v>95.8</v>
      </c>
      <c r="H51" s="134">
        <f>(H9+I9)/2</f>
        <v>79.650000000000006</v>
      </c>
      <c r="I51" s="86">
        <f>J9</f>
        <v>82.8</v>
      </c>
      <c r="J51" s="134">
        <f>(K9+L9)/2</f>
        <v>62.45</v>
      </c>
      <c r="K51" s="86">
        <f>M9</f>
        <v>38.5</v>
      </c>
      <c r="L51" s="134">
        <f>(N9+O9)/2</f>
        <v>41.199999999999996</v>
      </c>
      <c r="M51" s="86">
        <f>P9</f>
        <v>60.7</v>
      </c>
      <c r="N51" s="86">
        <f>Q9</f>
        <v>64.5</v>
      </c>
      <c r="O51" s="134">
        <f>(R9+S9)/2</f>
        <v>59</v>
      </c>
      <c r="P51" s="86"/>
      <c r="Q51" s="86"/>
      <c r="R51" s="86"/>
      <c r="S51" s="86"/>
      <c r="Y51" s="15">
        <f>SUM(D51:S51)/C51</f>
        <v>68.333333333333343</v>
      </c>
      <c r="Z51" t="s">
        <v>216</v>
      </c>
      <c r="AA51" s="8">
        <f t="shared" si="5"/>
        <v>66.393749999999997</v>
      </c>
    </row>
    <row r="52" spans="1:27" ht="16.5" thickTop="1" thickBot="1" x14ac:dyDescent="0.3">
      <c r="A52" t="s">
        <v>127</v>
      </c>
      <c r="B52" s="84" t="s">
        <v>137</v>
      </c>
      <c r="C52" s="85">
        <v>12</v>
      </c>
      <c r="D52" s="86">
        <v>89.7</v>
      </c>
      <c r="E52" s="86">
        <v>66.3</v>
      </c>
      <c r="F52" s="134">
        <f>(F10+G10)/2</f>
        <v>39.049999999999997</v>
      </c>
      <c r="G52" s="86">
        <f t="shared" ref="G52:L52" si="9">H10</f>
        <v>64.5</v>
      </c>
      <c r="H52" s="86">
        <f t="shared" si="9"/>
        <v>93</v>
      </c>
      <c r="I52" s="86">
        <f t="shared" si="9"/>
        <v>81.5</v>
      </c>
      <c r="J52" s="86">
        <f t="shared" si="9"/>
        <v>82.1</v>
      </c>
      <c r="K52" s="86">
        <f t="shared" si="9"/>
        <v>69.099999999999994</v>
      </c>
      <c r="L52" s="86">
        <f t="shared" si="9"/>
        <v>87.5</v>
      </c>
      <c r="M52" s="86">
        <f>N10</f>
        <v>68.8</v>
      </c>
      <c r="N52" s="134">
        <f>(O10+P10)/2</f>
        <v>77.949999999999989</v>
      </c>
      <c r="O52" s="134">
        <f>(R10+Q10)/2</f>
        <v>60.8</v>
      </c>
      <c r="P52" s="86"/>
      <c r="Q52" s="86"/>
      <c r="R52" s="86"/>
      <c r="Y52" s="15">
        <f>SUM(D52:R52)/C52</f>
        <v>73.358333333333334</v>
      </c>
      <c r="Z52" t="s">
        <v>216</v>
      </c>
      <c r="AA52" s="8">
        <f t="shared" si="5"/>
        <v>70.539999999999992</v>
      </c>
    </row>
    <row r="53" spans="1:27" ht="16.5" thickTop="1" thickBot="1" x14ac:dyDescent="0.3">
      <c r="A53" t="s">
        <v>127</v>
      </c>
      <c r="B53" s="84" t="s">
        <v>102</v>
      </c>
      <c r="C53" s="85">
        <v>14</v>
      </c>
      <c r="D53" s="86">
        <v>75.5</v>
      </c>
      <c r="E53" s="86">
        <v>60.9</v>
      </c>
      <c r="F53" s="86">
        <v>77.7</v>
      </c>
      <c r="G53" s="86">
        <v>21.3</v>
      </c>
      <c r="H53" s="86">
        <v>68.400000000000006</v>
      </c>
      <c r="I53" s="86">
        <v>77.900000000000006</v>
      </c>
      <c r="J53" s="86">
        <v>68.099999999999994</v>
      </c>
      <c r="K53" s="134">
        <f>(K11+L11)/2</f>
        <v>32.950000000000003</v>
      </c>
      <c r="L53" s="86">
        <f t="shared" ref="L53:M53" si="10">M11</f>
        <v>57.9</v>
      </c>
      <c r="M53" s="86">
        <f t="shared" si="10"/>
        <v>47</v>
      </c>
      <c r="N53" s="86">
        <f>O11</f>
        <v>66.3</v>
      </c>
      <c r="O53" s="134">
        <f>(P11+Q11)/2</f>
        <v>22.75</v>
      </c>
      <c r="P53" s="134">
        <f>(R11+S11+T11)/3</f>
        <v>60.733333333333327</v>
      </c>
      <c r="Q53" s="86">
        <f>U11</f>
        <v>66.599999999999994</v>
      </c>
      <c r="R53" s="86"/>
      <c r="S53" s="86"/>
      <c r="T53" s="86"/>
      <c r="U53" s="86"/>
      <c r="Y53" s="15">
        <f>SUM(D53:U53)/C53</f>
        <v>57.430952380952384</v>
      </c>
      <c r="Z53" t="s">
        <v>216</v>
      </c>
      <c r="AA53" s="8">
        <f t="shared" si="5"/>
        <v>54.511111111111113</v>
      </c>
    </row>
    <row r="54" spans="1:27" ht="16.5" thickTop="1" thickBot="1" x14ac:dyDescent="0.3">
      <c r="A54" t="s">
        <v>163</v>
      </c>
      <c r="B54" s="84" t="s">
        <v>164</v>
      </c>
      <c r="C54" s="87">
        <v>13</v>
      </c>
      <c r="D54" s="150">
        <v>89.9</v>
      </c>
      <c r="E54" s="150">
        <v>83.7</v>
      </c>
      <c r="F54" s="150">
        <v>88.1</v>
      </c>
      <c r="G54" s="150">
        <v>91.2</v>
      </c>
      <c r="H54" s="150">
        <v>69.3</v>
      </c>
      <c r="I54" s="150">
        <v>72.599999999999994</v>
      </c>
      <c r="J54" s="151">
        <f>((J12-K12)+(K12*2))/2</f>
        <v>56.3</v>
      </c>
      <c r="K54" s="150">
        <v>76.099999999999994</v>
      </c>
      <c r="L54" s="151">
        <f>((M12-N12)+(N12*2))/2</f>
        <v>84.75</v>
      </c>
      <c r="M54" s="150">
        <v>93.9</v>
      </c>
      <c r="N54" s="150">
        <v>72.8</v>
      </c>
      <c r="O54" s="151">
        <f>((Q12-R12)+(R12*2))/2</f>
        <v>47.25</v>
      </c>
      <c r="P54" s="150">
        <v>78.099999999999994</v>
      </c>
      <c r="Q54" s="8"/>
      <c r="R54" s="8"/>
      <c r="S54" s="8"/>
      <c r="T54" s="8"/>
      <c r="U54" s="8"/>
      <c r="V54" s="5"/>
      <c r="Y54" s="15">
        <f>SUM(D54:U54)/C54</f>
        <v>77.230769230769226</v>
      </c>
      <c r="Z54" t="s">
        <v>217</v>
      </c>
      <c r="AA54" s="8">
        <f t="shared" si="5"/>
        <v>74.518749999999997</v>
      </c>
    </row>
    <row r="55" spans="1:27" ht="16.5" thickTop="1" thickBot="1" x14ac:dyDescent="0.3">
      <c r="A55" t="s">
        <v>163</v>
      </c>
      <c r="B55" s="84" t="s">
        <v>166</v>
      </c>
      <c r="C55" s="87">
        <v>16</v>
      </c>
      <c r="D55" s="150">
        <v>90.7</v>
      </c>
      <c r="E55" s="150">
        <v>86.7</v>
      </c>
      <c r="F55" s="150">
        <v>65.400000000000006</v>
      </c>
      <c r="G55" s="150">
        <v>18.8</v>
      </c>
      <c r="H55" s="150">
        <v>70.599999999999994</v>
      </c>
      <c r="I55" s="151">
        <f>((I13-J13)+(J13*2))/2</f>
        <v>71.599999999999994</v>
      </c>
      <c r="J55" s="150">
        <v>50.6</v>
      </c>
      <c r="K55" s="150">
        <v>31.1</v>
      </c>
      <c r="L55" s="150">
        <v>55.6</v>
      </c>
      <c r="M55" s="150">
        <v>78.599999999999994</v>
      </c>
      <c r="N55" s="150">
        <v>86.5</v>
      </c>
      <c r="O55" s="150">
        <v>71.2</v>
      </c>
      <c r="P55" s="151">
        <f>((Q13-R13)+((R13-S13)*2)+(S13*3))/3</f>
        <v>32.199999999999996</v>
      </c>
      <c r="Q55" s="150">
        <v>48.2</v>
      </c>
      <c r="R55" s="150">
        <v>68.099999999999994</v>
      </c>
      <c r="S55" s="150">
        <v>23.9</v>
      </c>
      <c r="T55" s="8"/>
      <c r="U55" s="8"/>
      <c r="V55" s="8"/>
      <c r="W55" s="8"/>
      <c r="X55" s="8"/>
      <c r="Y55" s="15">
        <f>SUM(D55:S55)/C55</f>
        <v>59.362500000000018</v>
      </c>
      <c r="Z55" t="s">
        <v>217</v>
      </c>
      <c r="AA55" s="8">
        <f t="shared" si="5"/>
        <v>57.14736842105264</v>
      </c>
    </row>
    <row r="56" spans="1:27" ht="16.5" thickTop="1" thickBot="1" x14ac:dyDescent="0.3">
      <c r="A56" t="s">
        <v>163</v>
      </c>
      <c r="B56" s="84" t="s">
        <v>168</v>
      </c>
      <c r="C56" s="87">
        <v>12</v>
      </c>
      <c r="D56" s="151">
        <f>(D14+E14)/2</f>
        <v>73.650000000000006</v>
      </c>
      <c r="E56" s="152">
        <v>84.1</v>
      </c>
      <c r="F56" s="150">
        <v>73.3</v>
      </c>
      <c r="G56" s="150">
        <v>70.400000000000006</v>
      </c>
      <c r="H56" s="150">
        <v>57.3</v>
      </c>
      <c r="I56" s="150">
        <v>79.5</v>
      </c>
      <c r="J56" s="151">
        <f>((K14-L14)+(L14*2))/2</f>
        <v>53.6</v>
      </c>
      <c r="K56" s="152">
        <v>65.099999999999994</v>
      </c>
      <c r="L56" s="150">
        <v>76.099999999999994</v>
      </c>
      <c r="M56" s="151">
        <f>((O14-P14)+(P14*2))/2</f>
        <v>41.75</v>
      </c>
      <c r="N56" s="152">
        <v>75.7</v>
      </c>
      <c r="O56" s="151">
        <f>((R14-S14)+((S14-T14)*2)+(T14*3))/3</f>
        <v>60.20000000000001</v>
      </c>
      <c r="P56" s="152"/>
      <c r="Q56" s="152"/>
      <c r="R56" s="152"/>
      <c r="S56" s="8"/>
      <c r="T56" s="8"/>
      <c r="U56" s="8"/>
      <c r="V56" s="8"/>
      <c r="W56" s="8"/>
      <c r="X56" s="8"/>
      <c r="Y56" s="15">
        <f>SUM(D56:Q56)/C56</f>
        <v>67.558333333333351</v>
      </c>
      <c r="Z56" t="s">
        <v>217</v>
      </c>
      <c r="AA56" s="8">
        <f t="shared" si="5"/>
        <v>64.711764705882359</v>
      </c>
    </row>
    <row r="57" spans="1:27" ht="16.5" thickTop="1" thickBot="1" x14ac:dyDescent="0.3">
      <c r="A57" t="s">
        <v>163</v>
      </c>
      <c r="B57" s="84" t="s">
        <v>169</v>
      </c>
      <c r="C57" s="87">
        <v>16</v>
      </c>
      <c r="D57" s="150">
        <v>94.2</v>
      </c>
      <c r="E57" s="151">
        <f>(E15+F15)/2</f>
        <v>69.849999999999994</v>
      </c>
      <c r="F57" s="151">
        <f>(G15+H15)/2</f>
        <v>56</v>
      </c>
      <c r="G57" s="150">
        <v>64</v>
      </c>
      <c r="H57" s="150">
        <v>61.4</v>
      </c>
      <c r="I57" s="150">
        <v>81.3</v>
      </c>
      <c r="J57" s="151">
        <f>(L15+M15)/2</f>
        <v>44.7</v>
      </c>
      <c r="K57" s="150">
        <v>62.7</v>
      </c>
      <c r="L57" s="150">
        <v>58.3</v>
      </c>
      <c r="M57" s="150">
        <v>70</v>
      </c>
      <c r="N57" s="151">
        <f>(Q15+R15+S15)/3</f>
        <v>35.233333333333334</v>
      </c>
      <c r="O57" s="150">
        <v>75.400000000000006</v>
      </c>
      <c r="P57" s="150">
        <v>52</v>
      </c>
      <c r="Q57" s="150">
        <v>50.7</v>
      </c>
      <c r="R57" s="150">
        <v>57.6</v>
      </c>
      <c r="S57" s="150">
        <v>69.400000000000006</v>
      </c>
      <c r="T57" s="5"/>
      <c r="Y57" s="15">
        <f>SUM(D57:T57)/C57</f>
        <v>62.673958333333331</v>
      </c>
      <c r="Z57" t="s">
        <v>217</v>
      </c>
      <c r="AA57" s="8">
        <f t="shared" si="5"/>
        <v>59.228571428571428</v>
      </c>
    </row>
    <row r="58" spans="1:27" ht="16.5" thickTop="1" thickBot="1" x14ac:dyDescent="0.3">
      <c r="A58" t="s">
        <v>170</v>
      </c>
      <c r="B58" s="84" t="s">
        <v>202</v>
      </c>
      <c r="C58" s="87">
        <v>15</v>
      </c>
      <c r="D58" s="86">
        <v>87.4</v>
      </c>
      <c r="E58" s="86">
        <v>83.4</v>
      </c>
      <c r="F58" s="86">
        <v>70.3</v>
      </c>
      <c r="G58" s="86">
        <v>76.099999999999994</v>
      </c>
      <c r="H58" s="134">
        <f>(H16+I16)/2</f>
        <v>73.5</v>
      </c>
      <c r="I58" s="86">
        <v>87.1</v>
      </c>
      <c r="J58" s="86">
        <v>88.4</v>
      </c>
      <c r="K58" s="86">
        <v>80.599999999999994</v>
      </c>
      <c r="L58" s="86">
        <v>42.1</v>
      </c>
      <c r="M58" s="86">
        <v>85</v>
      </c>
      <c r="N58" s="86">
        <v>38.299999999999997</v>
      </c>
      <c r="O58" s="86">
        <v>87.8</v>
      </c>
      <c r="P58" s="134">
        <f>(Q16+R16)/2</f>
        <v>85.1</v>
      </c>
      <c r="Q58" s="86">
        <v>89.4</v>
      </c>
      <c r="R58" s="134">
        <f>(T16+U16)/2</f>
        <v>57.5</v>
      </c>
      <c r="S58" s="86"/>
      <c r="T58" s="86"/>
      <c r="U58" s="86"/>
      <c r="V58" s="8"/>
      <c r="W58" s="8"/>
      <c r="X58" s="8"/>
      <c r="Y58" s="15">
        <f>SUM(D58:R58)/C58</f>
        <v>75.466666666666669</v>
      </c>
      <c r="Z58" t="s">
        <v>212</v>
      </c>
      <c r="AA58" s="8">
        <f t="shared" si="5"/>
        <v>75.061111111111117</v>
      </c>
    </row>
    <row r="59" spans="1:27" ht="16.5" thickTop="1" thickBot="1" x14ac:dyDescent="0.3">
      <c r="A59" t="s">
        <v>170</v>
      </c>
      <c r="B59" s="84" t="s">
        <v>203</v>
      </c>
      <c r="C59" s="87">
        <v>17</v>
      </c>
      <c r="D59" s="86">
        <v>84.7</v>
      </c>
      <c r="E59" s="86">
        <v>92.1</v>
      </c>
      <c r="F59" s="86">
        <v>70.8</v>
      </c>
      <c r="G59" s="86">
        <v>92.2</v>
      </c>
      <c r="H59" s="86">
        <v>92</v>
      </c>
      <c r="I59" s="86">
        <v>94.9</v>
      </c>
      <c r="J59" s="86">
        <v>95.6</v>
      </c>
      <c r="K59" s="86">
        <v>77.7</v>
      </c>
      <c r="L59" s="134">
        <f>(L17+M17)/2</f>
        <v>64.55</v>
      </c>
      <c r="M59" s="86">
        <v>94.9</v>
      </c>
      <c r="N59" s="86">
        <v>86.6</v>
      </c>
      <c r="O59" s="134">
        <f>(P17+Q17)/2</f>
        <v>81.5</v>
      </c>
      <c r="P59" s="86">
        <v>79</v>
      </c>
      <c r="Q59" s="86">
        <v>92.6</v>
      </c>
      <c r="R59" s="86">
        <v>79.5</v>
      </c>
      <c r="S59" s="86">
        <v>82.8</v>
      </c>
      <c r="T59" s="134">
        <v>36.299999999999997</v>
      </c>
      <c r="U59" s="86"/>
      <c r="V59" s="8"/>
      <c r="W59" s="8"/>
      <c r="X59" s="8"/>
      <c r="Y59" s="15">
        <f>SUM(D59:U59)/C59</f>
        <v>82.220588235294116</v>
      </c>
      <c r="Z59" t="s">
        <v>212</v>
      </c>
      <c r="AA59" s="8">
        <f t="shared" si="5"/>
        <v>81.808947368421045</v>
      </c>
    </row>
    <row r="60" spans="1:27" ht="16.5" thickTop="1" thickBot="1" x14ac:dyDescent="0.3">
      <c r="A60" t="s">
        <v>170</v>
      </c>
      <c r="B60" s="84" t="s">
        <v>200</v>
      </c>
      <c r="C60" s="87">
        <v>13</v>
      </c>
      <c r="D60" s="8">
        <v>78.599999999999994</v>
      </c>
      <c r="E60" s="8">
        <v>74.599999999999994</v>
      </c>
      <c r="F60" s="8">
        <v>76.11</v>
      </c>
      <c r="G60" s="8">
        <v>77.099999999999994</v>
      </c>
      <c r="H60" s="8">
        <v>56.3</v>
      </c>
      <c r="I60" s="8">
        <v>56.3</v>
      </c>
      <c r="J60" s="134">
        <f>(J18+K18)/2</f>
        <v>37.954999999999998</v>
      </c>
      <c r="K60" s="8">
        <v>63.4</v>
      </c>
      <c r="L60" s="134">
        <f>(M18+N18)/2</f>
        <v>70.75</v>
      </c>
      <c r="M60" s="8">
        <v>88</v>
      </c>
      <c r="N60" s="8">
        <v>66</v>
      </c>
      <c r="O60" s="134">
        <f>(Q18+R18)/2</f>
        <v>30.55</v>
      </c>
      <c r="P60" s="8">
        <v>67.400000000000006</v>
      </c>
      <c r="Q60" s="8"/>
      <c r="R60" s="8"/>
      <c r="S60" s="8"/>
      <c r="T60" s="8"/>
      <c r="U60" s="8"/>
      <c r="V60" s="8"/>
      <c r="W60" s="8"/>
      <c r="X60" s="8"/>
      <c r="Y60" s="15">
        <f>SUM(D60:P60)/C60</f>
        <v>64.851153846153835</v>
      </c>
      <c r="Z60" t="s">
        <v>212</v>
      </c>
      <c r="AA60" s="8">
        <f t="shared" si="5"/>
        <v>61.394375000000004</v>
      </c>
    </row>
    <row r="61" spans="1:27" ht="16.5" thickTop="1" thickBot="1" x14ac:dyDescent="0.3">
      <c r="A61" t="s">
        <v>170</v>
      </c>
      <c r="B61" s="84" t="s">
        <v>201</v>
      </c>
      <c r="C61" s="87">
        <v>12</v>
      </c>
      <c r="D61" s="134">
        <f>(D19+E19)/2</f>
        <v>60.95</v>
      </c>
      <c r="E61" s="8">
        <v>74.2</v>
      </c>
      <c r="F61" s="8">
        <v>57.9</v>
      </c>
      <c r="G61" s="8">
        <v>65.8</v>
      </c>
      <c r="H61" s="8">
        <v>44.2</v>
      </c>
      <c r="I61" s="8">
        <v>65.599999999999994</v>
      </c>
      <c r="J61" s="134">
        <f>(K19+L19)/2</f>
        <v>41.75</v>
      </c>
      <c r="K61" s="8">
        <v>49.9</v>
      </c>
      <c r="L61" s="8">
        <v>62.8</v>
      </c>
      <c r="M61" s="134">
        <f>(O19+P19)/2</f>
        <v>26.35</v>
      </c>
      <c r="N61" s="8">
        <v>53.2</v>
      </c>
      <c r="O61" s="134">
        <f>(R19+S19+T19)/3</f>
        <v>38.866666666666667</v>
      </c>
      <c r="P61" s="8"/>
      <c r="Q61" s="8"/>
      <c r="R61" s="8"/>
      <c r="S61" s="8"/>
      <c r="T61" s="8"/>
      <c r="U61" s="8"/>
      <c r="V61" s="8"/>
      <c r="W61" s="8"/>
      <c r="X61" s="8"/>
      <c r="Y61" s="15">
        <f>SUM(D61:P61)/C61</f>
        <v>53.459722222222219</v>
      </c>
      <c r="Z61" t="s">
        <v>212</v>
      </c>
      <c r="AA61" s="8">
        <f t="shared" si="5"/>
        <v>49.900000000000006</v>
      </c>
    </row>
    <row r="62" spans="1:27" ht="15.75" thickTop="1" x14ac:dyDescent="0.25"/>
    <row r="65" spans="1:27" x14ac:dyDescent="0.25">
      <c r="A65" s="3" t="s">
        <v>220</v>
      </c>
    </row>
    <row r="67" spans="1:27" ht="15.75" thickBot="1" x14ac:dyDescent="0.3">
      <c r="A67" t="s">
        <v>163</v>
      </c>
      <c r="B67" s="84" t="s">
        <v>165</v>
      </c>
      <c r="C67" s="90">
        <v>19</v>
      </c>
      <c r="D67" s="150">
        <v>65.384755420436548</v>
      </c>
      <c r="E67" s="150">
        <v>76.652527716589901</v>
      </c>
      <c r="F67" s="150">
        <v>45.543044910888206</v>
      </c>
      <c r="G67" s="150">
        <v>67.233438313520594</v>
      </c>
      <c r="H67" s="150">
        <v>70.577633758715479</v>
      </c>
      <c r="I67" s="150">
        <v>65.794815313757255</v>
      </c>
      <c r="J67" s="150">
        <v>75.895669112158885</v>
      </c>
      <c r="K67" s="150">
        <v>71.097831825380936</v>
      </c>
      <c r="L67" s="151">
        <v>80.881924596311734</v>
      </c>
      <c r="M67" s="151">
        <v>63.237516156632864</v>
      </c>
      <c r="N67" s="150">
        <v>48.575485609218838</v>
      </c>
      <c r="O67" s="150">
        <v>69.70244488540169</v>
      </c>
      <c r="P67" s="151">
        <v>69.307403833900707</v>
      </c>
      <c r="Q67" s="151">
        <v>61.738817789590577</v>
      </c>
      <c r="R67" s="151">
        <v>72.868234694434847</v>
      </c>
      <c r="S67" s="151">
        <v>37.916203964974244</v>
      </c>
      <c r="T67" s="151">
        <v>20.57854399155304</v>
      </c>
      <c r="U67" s="151">
        <v>62.7924122990661</v>
      </c>
      <c r="V67" s="151">
        <v>42.278949955398588</v>
      </c>
      <c r="W67" s="8"/>
      <c r="X67" s="8"/>
      <c r="Y67" s="15">
        <f>SUM(D67:V67)/C67</f>
        <v>61.476718639364798</v>
      </c>
      <c r="Z67" t="s">
        <v>163</v>
      </c>
    </row>
    <row r="68" spans="1:27" ht="15.75" thickTop="1" x14ac:dyDescent="0.25">
      <c r="A68" t="s">
        <v>163</v>
      </c>
      <c r="B68" s="84" t="s">
        <v>165</v>
      </c>
      <c r="C68" s="87">
        <v>19</v>
      </c>
      <c r="D68" s="88">
        <v>1</v>
      </c>
      <c r="E68" s="88">
        <v>1</v>
      </c>
      <c r="F68" s="88">
        <v>1</v>
      </c>
      <c r="G68" s="88">
        <v>1</v>
      </c>
      <c r="H68" s="88">
        <v>1</v>
      </c>
      <c r="I68" s="88">
        <v>1</v>
      </c>
      <c r="J68" s="88">
        <v>1</v>
      </c>
      <c r="K68" s="133">
        <v>1</v>
      </c>
      <c r="L68" s="89">
        <v>2</v>
      </c>
      <c r="M68" s="88">
        <v>1</v>
      </c>
      <c r="N68" s="88">
        <v>1</v>
      </c>
      <c r="O68" s="89">
        <v>2</v>
      </c>
      <c r="P68" s="89">
        <v>3</v>
      </c>
      <c r="Q68" s="89">
        <v>2</v>
      </c>
      <c r="R68" s="16"/>
      <c r="S68" s="16"/>
    </row>
    <row r="69" spans="1:27" ht="15.75" thickBot="1" x14ac:dyDescent="0.3">
      <c r="A69" t="s">
        <v>163</v>
      </c>
      <c r="B69" s="84" t="s">
        <v>165</v>
      </c>
      <c r="C69" s="87">
        <v>14</v>
      </c>
      <c r="D69" s="150">
        <v>65.384755420436548</v>
      </c>
      <c r="E69" s="150">
        <v>76.652527716589901</v>
      </c>
      <c r="F69" s="150">
        <v>45.543044910888206</v>
      </c>
      <c r="G69" s="150">
        <v>67.233438313520594</v>
      </c>
      <c r="H69" s="150">
        <v>70.577633758715479</v>
      </c>
      <c r="I69" s="150">
        <v>65.794815313757255</v>
      </c>
      <c r="J69" s="150">
        <v>75.895669112158885</v>
      </c>
      <c r="K69" s="150">
        <v>71.097831825380936</v>
      </c>
      <c r="L69" s="151">
        <v>72.059720376472285</v>
      </c>
      <c r="M69" s="150">
        <v>48.575485609218838</v>
      </c>
      <c r="N69" s="150">
        <v>69.70244488540169</v>
      </c>
      <c r="O69" s="151">
        <v>65.523110811745639</v>
      </c>
      <c r="P69" s="151">
        <v>43.787660883654034</v>
      </c>
      <c r="Q69" s="151">
        <v>52.535681127232344</v>
      </c>
      <c r="R69" s="152"/>
      <c r="S69" s="152"/>
      <c r="T69" s="152"/>
      <c r="U69" s="152"/>
      <c r="V69" s="152"/>
      <c r="Y69" s="15">
        <f>SUM(D69:Q69)/C69</f>
        <v>63.597415718940894</v>
      </c>
      <c r="Z69" t="s">
        <v>217</v>
      </c>
      <c r="AA69" s="8">
        <f>Y69-Y67</f>
        <v>2.1206970795760967</v>
      </c>
    </row>
    <row r="70" spans="1:27" ht="15.75" thickTop="1" x14ac:dyDescent="0.25"/>
    <row r="71" spans="1:27" ht="15.75" thickBot="1" x14ac:dyDescent="0.3">
      <c r="A71" t="s">
        <v>163</v>
      </c>
      <c r="B71" s="84" t="s">
        <v>167</v>
      </c>
      <c r="C71" s="90">
        <v>17</v>
      </c>
      <c r="D71" s="150">
        <v>78.199485247491509</v>
      </c>
      <c r="E71" s="150">
        <v>47.964769293893838</v>
      </c>
      <c r="F71" s="150">
        <v>56.210600917602292</v>
      </c>
      <c r="G71" s="151">
        <v>78.057275541795661</v>
      </c>
      <c r="H71" s="151">
        <v>22.014062441717336</v>
      </c>
      <c r="I71" s="151">
        <v>7.3254317579917192</v>
      </c>
      <c r="J71" s="150">
        <v>62.134451117162143</v>
      </c>
      <c r="K71" s="150">
        <v>48.973292551008988</v>
      </c>
      <c r="L71" s="150">
        <v>35.137920101458462</v>
      </c>
      <c r="M71" s="151">
        <v>64.322615539557603</v>
      </c>
      <c r="N71" s="151">
        <v>15.859879145063225</v>
      </c>
      <c r="O71" s="150">
        <v>73.92806520198441</v>
      </c>
      <c r="P71" s="151">
        <v>56.181226453802829</v>
      </c>
      <c r="Q71" s="151">
        <v>27.193293297027118</v>
      </c>
      <c r="R71" s="150">
        <v>65.35585064717074</v>
      </c>
      <c r="S71" s="151">
        <v>61.83324629788504</v>
      </c>
      <c r="T71" s="151">
        <v>9.8022119437502333</v>
      </c>
      <c r="U71" s="86"/>
      <c r="V71" s="8"/>
      <c r="W71" s="8"/>
      <c r="X71" s="8"/>
      <c r="Y71" s="15">
        <f>SUM(D71:U71)/C71</f>
        <v>47.676098676256657</v>
      </c>
      <c r="Z71" t="s">
        <v>163</v>
      </c>
    </row>
    <row r="72" spans="1:27" ht="15.75" thickTop="1" x14ac:dyDescent="0.25">
      <c r="A72" t="s">
        <v>163</v>
      </c>
      <c r="B72" s="84" t="s">
        <v>167</v>
      </c>
      <c r="C72" s="87">
        <v>17</v>
      </c>
      <c r="D72" s="132">
        <v>1</v>
      </c>
      <c r="E72" s="88">
        <v>1</v>
      </c>
      <c r="F72" s="132">
        <v>1</v>
      </c>
      <c r="G72" s="89">
        <v>3</v>
      </c>
      <c r="H72" s="88">
        <v>1</v>
      </c>
      <c r="I72" s="88">
        <v>1</v>
      </c>
      <c r="J72" s="132">
        <v>1</v>
      </c>
      <c r="K72" s="89">
        <v>2</v>
      </c>
      <c r="L72" s="88">
        <v>1</v>
      </c>
      <c r="M72" s="89">
        <v>2</v>
      </c>
      <c r="N72" s="88">
        <v>1</v>
      </c>
      <c r="O72" s="89">
        <v>2</v>
      </c>
      <c r="P72" s="89"/>
      <c r="Q72" s="88"/>
      <c r="R72" s="16"/>
      <c r="S72" s="16"/>
    </row>
    <row r="73" spans="1:27" ht="15.75" thickBot="1" x14ac:dyDescent="0.3">
      <c r="A73" t="s">
        <v>163</v>
      </c>
      <c r="B73" s="84" t="s">
        <v>167</v>
      </c>
      <c r="C73" s="87">
        <v>12</v>
      </c>
      <c r="D73" s="150">
        <v>78.199485247491509</v>
      </c>
      <c r="E73" s="150">
        <v>47.964769293893838</v>
      </c>
      <c r="F73" s="150">
        <v>56.210600917602292</v>
      </c>
      <c r="G73" s="151">
        <v>35.798923247168254</v>
      </c>
      <c r="H73" s="150">
        <v>62.134451117162143</v>
      </c>
      <c r="I73" s="150">
        <v>48.973292551008988</v>
      </c>
      <c r="J73" s="150">
        <v>35.137920101458462</v>
      </c>
      <c r="K73" s="151">
        <v>40.09124734231041</v>
      </c>
      <c r="L73" s="150">
        <v>73.92806520198441</v>
      </c>
      <c r="M73" s="151">
        <v>41.687259875414959</v>
      </c>
      <c r="N73" s="150">
        <v>65.35585064717074</v>
      </c>
      <c r="O73" s="151">
        <v>35.817729120817617</v>
      </c>
      <c r="P73" s="8"/>
      <c r="Q73" s="8"/>
      <c r="R73" s="8"/>
      <c r="S73" s="8"/>
      <c r="T73" s="5"/>
      <c r="Y73" s="15">
        <f>SUM(D73:Q73)/C73</f>
        <v>51.774966221956966</v>
      </c>
      <c r="Z73" t="s">
        <v>217</v>
      </c>
      <c r="AA73" s="8">
        <f>Y73-Y71</f>
        <v>4.0988675457003083</v>
      </c>
    </row>
    <row r="74" spans="1:27" ht="15.75" thickTop="1" x14ac:dyDescent="0.25"/>
    <row r="76" spans="1:27" ht="15.75" thickBot="1" x14ac:dyDescent="0.3">
      <c r="A76" t="s">
        <v>170</v>
      </c>
      <c r="B76" s="84" t="s">
        <v>204</v>
      </c>
      <c r="C76" s="90">
        <v>17</v>
      </c>
      <c r="D76" s="8">
        <v>91.4</v>
      </c>
      <c r="E76" s="8">
        <v>38.01</v>
      </c>
      <c r="F76" s="8">
        <v>96.4</v>
      </c>
      <c r="G76" s="8">
        <v>90.78</v>
      </c>
      <c r="H76" s="8">
        <v>86.26</v>
      </c>
      <c r="I76" s="8">
        <v>59.39</v>
      </c>
      <c r="J76" s="8">
        <v>85.47</v>
      </c>
      <c r="K76" s="8">
        <v>87.84</v>
      </c>
      <c r="L76" s="86">
        <v>93.98</v>
      </c>
      <c r="M76" s="86">
        <v>96.4</v>
      </c>
      <c r="N76" s="86">
        <v>75.790000000000006</v>
      </c>
      <c r="O76" s="86">
        <v>87.26</v>
      </c>
      <c r="P76" s="86">
        <v>67.56</v>
      </c>
      <c r="Q76" s="86">
        <v>90.78</v>
      </c>
      <c r="R76" s="134">
        <v>73.61</v>
      </c>
      <c r="S76" s="134">
        <v>23.27</v>
      </c>
      <c r="T76" s="86">
        <v>69.27</v>
      </c>
      <c r="U76" s="86"/>
      <c r="V76" s="86"/>
      <c r="W76" s="86"/>
      <c r="X76" s="8"/>
      <c r="Y76" s="15">
        <f>SUM(D76:U76)/C76</f>
        <v>77.262941176470576</v>
      </c>
      <c r="Z76" t="s">
        <v>170</v>
      </c>
    </row>
    <row r="77" spans="1:27" ht="16.5" thickTop="1" thickBot="1" x14ac:dyDescent="0.3">
      <c r="A77" t="s">
        <v>170</v>
      </c>
      <c r="B77" s="84" t="s">
        <v>205</v>
      </c>
      <c r="C77" s="90">
        <v>16</v>
      </c>
      <c r="D77" s="8">
        <v>76.099999999999994</v>
      </c>
      <c r="E77" s="8">
        <v>84.44</v>
      </c>
      <c r="F77" s="134">
        <v>89.12</v>
      </c>
      <c r="G77" s="134">
        <v>45.96</v>
      </c>
      <c r="H77" s="8">
        <v>95.03</v>
      </c>
      <c r="I77" s="8">
        <v>85.89</v>
      </c>
      <c r="J77" s="8">
        <v>91.83</v>
      </c>
      <c r="K77" s="8">
        <v>58.68</v>
      </c>
      <c r="L77" s="8">
        <v>89.58</v>
      </c>
      <c r="M77" s="8">
        <v>89.61</v>
      </c>
      <c r="N77" s="8">
        <v>90.26</v>
      </c>
      <c r="O77" s="134">
        <v>84.33</v>
      </c>
      <c r="P77" s="134">
        <v>72.64</v>
      </c>
      <c r="Q77" s="8">
        <v>59.95</v>
      </c>
      <c r="R77" s="8">
        <v>77.069999999999993</v>
      </c>
      <c r="S77" s="8">
        <v>64.77</v>
      </c>
      <c r="T77" s="8"/>
      <c r="U77" s="86"/>
      <c r="V77" s="86"/>
      <c r="W77" s="86"/>
      <c r="X77" s="8"/>
      <c r="Y77" s="15">
        <f>SUM(D77:U77)/C77</f>
        <v>78.453749999999999</v>
      </c>
      <c r="Z77" t="s">
        <v>170</v>
      </c>
    </row>
    <row r="78" spans="1:27" ht="15.75" thickTop="1" x14ac:dyDescent="0.25">
      <c r="A78" t="s">
        <v>170</v>
      </c>
      <c r="B78" s="84" t="s">
        <v>204</v>
      </c>
      <c r="C78" s="87">
        <v>17</v>
      </c>
      <c r="D78" s="88">
        <v>1</v>
      </c>
      <c r="E78" s="132">
        <v>1</v>
      </c>
      <c r="F78" s="132">
        <v>1</v>
      </c>
      <c r="G78" s="88">
        <v>1</v>
      </c>
      <c r="H78" s="88">
        <v>1</v>
      </c>
      <c r="I78" s="88">
        <v>1</v>
      </c>
      <c r="J78" s="132">
        <v>1</v>
      </c>
      <c r="K78" s="132">
        <v>1</v>
      </c>
      <c r="L78" s="132">
        <v>1</v>
      </c>
      <c r="M78" s="88">
        <v>1</v>
      </c>
      <c r="N78" s="132">
        <v>1</v>
      </c>
      <c r="O78" s="132">
        <v>1</v>
      </c>
      <c r="P78" s="132">
        <v>1</v>
      </c>
      <c r="Q78" s="88">
        <v>1</v>
      </c>
      <c r="R78" s="83">
        <v>2</v>
      </c>
      <c r="S78" s="16">
        <v>1</v>
      </c>
      <c r="T78" s="83"/>
    </row>
    <row r="79" spans="1:27" x14ac:dyDescent="0.25">
      <c r="A79" t="s">
        <v>170</v>
      </c>
      <c r="B79" s="84" t="s">
        <v>205</v>
      </c>
      <c r="C79" s="87">
        <v>16</v>
      </c>
      <c r="D79" s="88">
        <v>1</v>
      </c>
      <c r="E79" s="132">
        <v>1</v>
      </c>
      <c r="F79" s="89">
        <v>2</v>
      </c>
      <c r="G79" s="88">
        <v>1</v>
      </c>
      <c r="H79" s="88">
        <v>1</v>
      </c>
      <c r="I79" s="88">
        <v>1</v>
      </c>
      <c r="J79" s="132">
        <v>1</v>
      </c>
      <c r="K79" s="132">
        <v>1</v>
      </c>
      <c r="L79" s="132">
        <v>1</v>
      </c>
      <c r="M79" s="88">
        <v>1</v>
      </c>
      <c r="N79" s="89">
        <v>2</v>
      </c>
      <c r="O79" s="132">
        <v>1</v>
      </c>
      <c r="P79" s="132">
        <v>1</v>
      </c>
      <c r="Q79" s="88">
        <v>1</v>
      </c>
      <c r="R79" s="16"/>
      <c r="S79" s="16"/>
      <c r="T79" s="83"/>
    </row>
    <row r="80" spans="1:27" ht="15.75" thickBot="1" x14ac:dyDescent="0.3">
      <c r="A80" t="s">
        <v>170</v>
      </c>
      <c r="B80" s="84" t="s">
        <v>204</v>
      </c>
      <c r="C80" s="87">
        <v>16</v>
      </c>
      <c r="D80" s="86">
        <v>91.4</v>
      </c>
      <c r="E80" s="86">
        <v>38.01</v>
      </c>
      <c r="F80" s="86">
        <v>96.4</v>
      </c>
      <c r="G80" s="86">
        <v>90.78</v>
      </c>
      <c r="H80" s="86">
        <v>86.26</v>
      </c>
      <c r="I80" s="86">
        <v>59.39</v>
      </c>
      <c r="J80" s="86">
        <v>85.47</v>
      </c>
      <c r="K80" s="86">
        <v>87.84</v>
      </c>
      <c r="L80" s="86">
        <v>93.98</v>
      </c>
      <c r="M80" s="86">
        <v>96.4</v>
      </c>
      <c r="N80" s="86">
        <v>75.790000000000006</v>
      </c>
      <c r="O80" s="86">
        <v>87.26</v>
      </c>
      <c r="P80" s="86">
        <v>67.56</v>
      </c>
      <c r="Q80" s="86">
        <v>90.78</v>
      </c>
      <c r="R80" s="134">
        <f>(R76+S76)/2</f>
        <v>48.44</v>
      </c>
      <c r="S80" s="86">
        <v>69.27</v>
      </c>
      <c r="T80" s="86"/>
      <c r="U80" s="86"/>
      <c r="V80" s="8"/>
      <c r="W80" s="8"/>
      <c r="X80" s="8"/>
      <c r="Y80" s="15">
        <f>SUM(D80:U80)/C80</f>
        <v>79.064374999999998</v>
      </c>
      <c r="Z80" t="s">
        <v>212</v>
      </c>
      <c r="AA80" s="8">
        <f>Y80-Y76</f>
        <v>1.8014338235294218</v>
      </c>
    </row>
    <row r="81" spans="1:27" ht="16.5" thickTop="1" thickBot="1" x14ac:dyDescent="0.3">
      <c r="A81" t="s">
        <v>170</v>
      </c>
      <c r="B81" s="84" t="s">
        <v>205</v>
      </c>
      <c r="C81" s="87">
        <v>14</v>
      </c>
      <c r="D81" s="8">
        <v>76.099999999999994</v>
      </c>
      <c r="E81" s="8">
        <v>84.44</v>
      </c>
      <c r="F81" s="134">
        <f>(F77+G77)/2</f>
        <v>67.540000000000006</v>
      </c>
      <c r="G81" s="8">
        <v>95.03</v>
      </c>
      <c r="H81" s="8">
        <v>85.89</v>
      </c>
      <c r="I81" s="8">
        <v>91.83</v>
      </c>
      <c r="J81" s="8">
        <v>58.68</v>
      </c>
      <c r="K81" s="8">
        <v>89.58</v>
      </c>
      <c r="L81" s="8">
        <v>89.61</v>
      </c>
      <c r="M81" s="8">
        <v>90.26</v>
      </c>
      <c r="N81" s="134">
        <f>(O77+P77)/2</f>
        <v>78.484999999999999</v>
      </c>
      <c r="O81" s="8">
        <v>59.95</v>
      </c>
      <c r="P81" s="8">
        <v>77.069999999999993</v>
      </c>
      <c r="Q81" s="8">
        <v>64.77</v>
      </c>
      <c r="R81" s="8"/>
      <c r="S81" s="8"/>
      <c r="T81" s="8"/>
      <c r="U81" s="8"/>
      <c r="V81" s="8"/>
      <c r="W81" s="8"/>
      <c r="X81" s="8"/>
      <c r="Y81" s="15">
        <f>SUM(D81:U81)/C81</f>
        <v>79.23107142857144</v>
      </c>
      <c r="Z81" t="s">
        <v>212</v>
      </c>
      <c r="AA81" s="8">
        <f>Y81-Y77</f>
        <v>0.77732142857144026</v>
      </c>
    </row>
    <row r="82" spans="1:27" ht="15.75" thickTop="1" x14ac:dyDescent="0.25"/>
  </sheetData>
  <sheetProtection algorithmName="SHA-512" hashValue="R3Cre6GyFrgQg6dt6W9cqjusCz8VTPAarfis2H8XDltfSlDkt/Pcaxf3ayXixnMhY30xjeGkb0ebjwy4OvGgMg==" saltValue="R9r0Zjups4DsSRMPkpQtsw==" spinCount="100000" sheet="1" objects="1" scenarios="1"/>
  <pageMargins left="0.7" right="0.7" top="0.75" bottom="0.75" header="0.3" footer="0.3"/>
  <pageSetup paperSize="9" fitToWidth="0" fitToHeight="0" orientation="portrait" r:id="rId1"/>
  <ignoredErrors>
    <ignoredError sqref="U33:U37 U39:U4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row r="1" spans="1:1" x14ac:dyDescent="0.25">
      <c r="A1" s="131" t="s">
        <v>207</v>
      </c>
    </row>
  </sheetData>
  <sheetProtection algorithmName="SHA-512" hashValue="DfU2shzwt4NeKWs+b5igjWcJbx59bNYzXZkopZZG8lUqHm54j2Ui/p/RAb+oZX7Zw8xMgV1oDo67d/9kQO47xg==" saltValue="TPS4/cnF5oJ8WoM6yHdsw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C45"/>
  <sheetViews>
    <sheetView workbookViewId="0">
      <selection activeCell="C5" sqref="C5:F5"/>
    </sheetView>
  </sheetViews>
  <sheetFormatPr defaultRowHeight="15" x14ac:dyDescent="0.25"/>
  <cols>
    <col min="1" max="1" width="9.140625" customWidth="1"/>
    <col min="2" max="2" width="21.85546875" customWidth="1"/>
    <col min="3" max="19" width="7.140625" customWidth="1"/>
    <col min="21" max="21" width="12.7109375" bestFit="1" customWidth="1"/>
  </cols>
  <sheetData>
    <row r="1" spans="1:29" ht="33.75" customHeight="1" x14ac:dyDescent="0.25">
      <c r="A1" s="64" t="s">
        <v>143</v>
      </c>
      <c r="B1" s="64"/>
      <c r="C1" s="64"/>
      <c r="D1" s="64"/>
      <c r="E1" s="64"/>
      <c r="F1" s="64"/>
      <c r="G1" s="64"/>
      <c r="H1" s="64"/>
      <c r="I1" s="64"/>
      <c r="J1" s="64"/>
      <c r="K1" s="64"/>
      <c r="L1" s="64"/>
      <c r="M1" s="64"/>
      <c r="N1" s="184" t="s">
        <v>208</v>
      </c>
      <c r="O1" s="184"/>
      <c r="P1" s="184"/>
      <c r="Q1" s="184"/>
      <c r="R1" s="184"/>
      <c r="S1" s="184"/>
      <c r="T1" s="184"/>
      <c r="U1" s="184"/>
      <c r="V1" s="25"/>
      <c r="W1" s="25"/>
      <c r="X1" s="25"/>
      <c r="Y1" s="25"/>
      <c r="Z1" s="25"/>
      <c r="AA1" s="25"/>
      <c r="AB1" s="25"/>
      <c r="AC1" s="25"/>
    </row>
    <row r="2" spans="1:29" ht="21" customHeight="1" x14ac:dyDescent="0.25">
      <c r="A2" s="77" t="s">
        <v>115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row>
    <row r="3" spans="1:29" ht="21" customHeight="1" x14ac:dyDescent="0.25">
      <c r="A3" s="24" t="s">
        <v>116</v>
      </c>
      <c r="B3" s="181"/>
      <c r="C3" s="182"/>
      <c r="D3" s="183"/>
      <c r="E3" s="78"/>
      <c r="F3" s="24" t="s">
        <v>117</v>
      </c>
      <c r="G3" s="79"/>
      <c r="I3" s="179" t="s">
        <v>138</v>
      </c>
      <c r="J3" s="180"/>
      <c r="K3" s="56">
        <f>COUNTA(B9:B38)</f>
        <v>0</v>
      </c>
      <c r="L3" s="25"/>
      <c r="M3" s="25"/>
      <c r="N3" s="25"/>
      <c r="O3" s="25"/>
      <c r="P3" s="25"/>
      <c r="Q3" s="25"/>
      <c r="R3" s="25"/>
      <c r="S3" s="24" t="s">
        <v>119</v>
      </c>
      <c r="T3" s="174"/>
      <c r="U3" s="175"/>
      <c r="V3" s="25"/>
      <c r="W3" s="25"/>
      <c r="Y3" s="25"/>
      <c r="Z3" s="25"/>
      <c r="AA3" s="25"/>
      <c r="AB3" s="25"/>
      <c r="AC3" s="25"/>
    </row>
    <row r="4" spans="1:29" ht="18.75" customHeight="1" x14ac:dyDescent="0.25">
      <c r="A4" s="25"/>
      <c r="B4" s="24"/>
      <c r="C4" s="26"/>
      <c r="D4" s="26"/>
      <c r="E4" s="26"/>
      <c r="F4" s="26"/>
      <c r="G4" s="24"/>
      <c r="H4" s="27"/>
      <c r="I4" s="25"/>
      <c r="J4" s="24"/>
      <c r="K4" s="28"/>
      <c r="L4" s="25"/>
      <c r="M4" s="25"/>
      <c r="N4" s="25"/>
      <c r="O4" s="25"/>
      <c r="P4" s="25"/>
      <c r="Q4" s="25"/>
      <c r="R4" s="25"/>
      <c r="S4" s="25"/>
      <c r="T4" s="25"/>
      <c r="U4" s="25"/>
      <c r="V4" s="25"/>
      <c r="W4" s="25"/>
      <c r="X4" s="25"/>
      <c r="Y4" s="25"/>
      <c r="Z4" s="25"/>
      <c r="AA4" s="25"/>
      <c r="AB4" s="25"/>
      <c r="AC4" s="25"/>
    </row>
    <row r="5" spans="1:29" x14ac:dyDescent="0.25">
      <c r="A5" s="25"/>
      <c r="B5" s="24" t="s">
        <v>120</v>
      </c>
      <c r="C5" s="176" t="s">
        <v>141</v>
      </c>
      <c r="D5" s="177"/>
      <c r="E5" s="177"/>
      <c r="F5" s="178"/>
      <c r="G5" s="25"/>
      <c r="H5" s="24" t="s">
        <v>129</v>
      </c>
      <c r="I5" s="28"/>
      <c r="J5" s="25"/>
      <c r="K5" s="29">
        <f>VLOOKUP($C$5,Liste!B1:C19,2,FALSE)</f>
        <v>0</v>
      </c>
      <c r="L5" s="25"/>
      <c r="M5" s="25"/>
      <c r="N5" s="25"/>
      <c r="O5" s="25"/>
      <c r="P5" s="25"/>
      <c r="Q5" s="25"/>
      <c r="R5" s="25"/>
      <c r="S5" s="25"/>
      <c r="T5" s="25"/>
      <c r="U5" s="25"/>
      <c r="V5" s="25"/>
      <c r="W5" s="25" t="s">
        <v>152</v>
      </c>
      <c r="X5" s="25"/>
      <c r="Y5" s="25"/>
      <c r="Z5" s="25"/>
      <c r="AA5" s="25"/>
      <c r="AB5" s="25"/>
      <c r="AC5" s="25"/>
    </row>
    <row r="6" spans="1:29" ht="5.25" customHeight="1" x14ac:dyDescent="0.25">
      <c r="A6" s="25"/>
      <c r="B6" s="25"/>
      <c r="C6" s="30"/>
      <c r="D6" s="30"/>
      <c r="E6" s="30"/>
      <c r="F6" s="30"/>
      <c r="G6" s="30"/>
      <c r="H6" s="30"/>
      <c r="I6" s="30"/>
      <c r="J6" s="30"/>
      <c r="K6" s="30"/>
      <c r="L6" s="30"/>
      <c r="M6" s="30"/>
      <c r="N6" s="30"/>
      <c r="O6" s="30"/>
      <c r="P6" s="30"/>
      <c r="Q6" s="30"/>
      <c r="R6" s="30"/>
      <c r="S6" s="30"/>
      <c r="T6" s="30"/>
      <c r="U6" s="30"/>
      <c r="V6" s="30"/>
      <c r="W6" s="25"/>
      <c r="X6" s="25"/>
      <c r="Y6" s="25"/>
      <c r="Z6" s="25"/>
      <c r="AA6" s="25"/>
      <c r="AB6" s="25"/>
      <c r="AC6" s="25"/>
    </row>
    <row r="7" spans="1:29" ht="23.25" customHeight="1" x14ac:dyDescent="0.25">
      <c r="A7" s="72"/>
      <c r="B7" s="74" t="s">
        <v>153</v>
      </c>
      <c r="C7" s="53" t="e">
        <f>VLOOKUP($C$5,Liste!$B$22:$T$40,3,FALSE)</f>
        <v>#N/A</v>
      </c>
      <c r="D7" s="53" t="e">
        <f>VLOOKUP($C$5,Liste!$B$22:$T$40,4,FALSE)</f>
        <v>#N/A</v>
      </c>
      <c r="E7" s="53" t="e">
        <f>VLOOKUP($C$5,Liste!$B$22:$T$40,5,FALSE)</f>
        <v>#N/A</v>
      </c>
      <c r="F7" s="53" t="e">
        <f>VLOOKUP($C$5,Liste!$B$22:$T$40,6,FALSE)</f>
        <v>#N/A</v>
      </c>
      <c r="G7" s="53" t="e">
        <f>VLOOKUP($C$5,Liste!$B$22:$T$40,7,FALSE)</f>
        <v>#N/A</v>
      </c>
      <c r="H7" s="53" t="e">
        <f>VLOOKUP($C$5,Liste!$B$22:$T$40,8,FALSE)</f>
        <v>#N/A</v>
      </c>
      <c r="I7" s="53" t="e">
        <f>VLOOKUP($C$5,Liste!$B$22:$T$40,9,FALSE)</f>
        <v>#N/A</v>
      </c>
      <c r="J7" s="53" t="e">
        <f>VLOOKUP($C$5,Liste!$B$22:$T$40,10,FALSE)</f>
        <v>#N/A</v>
      </c>
      <c r="K7" s="53" t="e">
        <f>VLOOKUP($C$5,Liste!$B$22:$T$40,11,FALSE)</f>
        <v>#N/A</v>
      </c>
      <c r="L7" s="53" t="e">
        <f>VLOOKUP($C$5,Liste!$B$22:$T$40,12,FALSE)</f>
        <v>#N/A</v>
      </c>
      <c r="M7" s="53" t="e">
        <f>VLOOKUP($C$5,Liste!$B$22:$T$40,13,FALSE)</f>
        <v>#N/A</v>
      </c>
      <c r="N7" s="53" t="e">
        <f>VLOOKUP($C$5,Liste!$B$22:$T$40,14,FALSE)</f>
        <v>#N/A</v>
      </c>
      <c r="O7" s="53" t="e">
        <f>VLOOKUP($C$5,Liste!$B$22:$T$40,15,FALSE)</f>
        <v>#N/A</v>
      </c>
      <c r="P7" s="53" t="e">
        <f>VLOOKUP($C$5,Liste!$B$22:$T$40,16,FALSE)</f>
        <v>#N/A</v>
      </c>
      <c r="Q7" s="53" t="e">
        <f>VLOOKUP($C$5,Liste!$B$22:$T$40,17,FALSE)</f>
        <v>#N/A</v>
      </c>
      <c r="R7" s="53" t="e">
        <f>VLOOKUP($C$5,Liste!$B$22:$T$40,18,FALSE)</f>
        <v>#N/A</v>
      </c>
      <c r="S7" s="140" t="e">
        <f>VLOOKUP($C$5,Liste!$B$22:$T$40,19,FALSE)</f>
        <v>#N/A</v>
      </c>
      <c r="T7" s="54" t="e">
        <f>SUM(C7:S7)</f>
        <v>#N/A</v>
      </c>
      <c r="U7" s="55"/>
      <c r="V7" s="31"/>
      <c r="W7" s="25"/>
      <c r="X7" s="25"/>
      <c r="Y7" s="25"/>
      <c r="Z7" s="25"/>
      <c r="AA7" s="25"/>
      <c r="AB7" s="25"/>
      <c r="AC7" s="25"/>
    </row>
    <row r="8" spans="1:29" ht="30.75" customHeight="1" x14ac:dyDescent="0.25">
      <c r="A8" s="73" t="s">
        <v>118</v>
      </c>
      <c r="B8" s="76" t="s">
        <v>145</v>
      </c>
      <c r="C8" s="51" t="s">
        <v>40</v>
      </c>
      <c r="D8" s="51" t="s">
        <v>42</v>
      </c>
      <c r="E8" s="51" t="s">
        <v>43</v>
      </c>
      <c r="F8" s="51" t="s">
        <v>44</v>
      </c>
      <c r="G8" s="51" t="s">
        <v>45</v>
      </c>
      <c r="H8" s="51" t="s">
        <v>46</v>
      </c>
      <c r="I8" s="51" t="s">
        <v>49</v>
      </c>
      <c r="J8" s="51" t="s">
        <v>52</v>
      </c>
      <c r="K8" s="51" t="s">
        <v>53</v>
      </c>
      <c r="L8" s="51" t="s">
        <v>54</v>
      </c>
      <c r="M8" s="51" t="s">
        <v>55</v>
      </c>
      <c r="N8" s="51" t="s">
        <v>66</v>
      </c>
      <c r="O8" s="51" t="s">
        <v>67</v>
      </c>
      <c r="P8" s="51" t="s">
        <v>68</v>
      </c>
      <c r="Q8" s="51" t="s">
        <v>69</v>
      </c>
      <c r="R8" s="51" t="s">
        <v>79</v>
      </c>
      <c r="S8" s="142" t="s">
        <v>173</v>
      </c>
      <c r="T8" s="139" t="s">
        <v>128</v>
      </c>
      <c r="U8" s="52" t="s">
        <v>147</v>
      </c>
      <c r="V8" s="32"/>
      <c r="W8" s="25"/>
      <c r="X8" s="25"/>
      <c r="Y8" s="25"/>
      <c r="Z8" s="25"/>
      <c r="AA8" s="25"/>
      <c r="AB8" s="25"/>
      <c r="AC8" s="25"/>
    </row>
    <row r="9" spans="1:29" x14ac:dyDescent="0.25">
      <c r="A9" s="71">
        <v>1</v>
      </c>
      <c r="B9" s="75"/>
      <c r="C9" s="41"/>
      <c r="D9" s="42"/>
      <c r="E9" s="42"/>
      <c r="F9" s="42"/>
      <c r="G9" s="42"/>
      <c r="H9" s="42"/>
      <c r="I9" s="42"/>
      <c r="J9" s="42"/>
      <c r="K9" s="42"/>
      <c r="L9" s="42"/>
      <c r="M9" s="42"/>
      <c r="N9" s="42"/>
      <c r="O9" s="42"/>
      <c r="P9" s="42"/>
      <c r="Q9" s="42"/>
      <c r="R9" s="136"/>
      <c r="S9" s="141"/>
      <c r="T9" s="60">
        <f>SUM(C9:S9)</f>
        <v>0</v>
      </c>
      <c r="U9" s="48" t="e">
        <f t="shared" ref="U9:U37" si="0">T9/$K$5</f>
        <v>#DIV/0!</v>
      </c>
      <c r="V9" s="33"/>
      <c r="W9" s="25"/>
      <c r="X9" s="25"/>
      <c r="Y9" s="25"/>
      <c r="Z9" s="25"/>
      <c r="AA9" s="27"/>
      <c r="AB9" s="25"/>
      <c r="AC9" s="25"/>
    </row>
    <row r="10" spans="1:29" x14ac:dyDescent="0.25">
      <c r="A10" s="39">
        <v>2</v>
      </c>
      <c r="B10" s="65"/>
      <c r="C10" s="43"/>
      <c r="D10" s="38"/>
      <c r="E10" s="38"/>
      <c r="F10" s="38"/>
      <c r="G10" s="38"/>
      <c r="H10" s="38"/>
      <c r="I10" s="38"/>
      <c r="J10" s="38"/>
      <c r="K10" s="38"/>
      <c r="L10" s="38"/>
      <c r="M10" s="38"/>
      <c r="N10" s="38"/>
      <c r="O10" s="38"/>
      <c r="P10" s="38"/>
      <c r="Q10" s="38"/>
      <c r="R10" s="137"/>
      <c r="S10" s="44"/>
      <c r="T10" s="61">
        <f t="shared" ref="T10:T31" si="1">SUM(C10:S10)</f>
        <v>0</v>
      </c>
      <c r="U10" s="49" t="e">
        <f t="shared" si="0"/>
        <v>#DIV/0!</v>
      </c>
      <c r="V10" s="33"/>
      <c r="W10" s="25"/>
      <c r="X10" s="25"/>
      <c r="Y10" s="25"/>
      <c r="Z10" s="25"/>
      <c r="AA10" s="25"/>
      <c r="AB10" s="25"/>
      <c r="AC10" s="25"/>
    </row>
    <row r="11" spans="1:29" x14ac:dyDescent="0.25">
      <c r="A11" s="39">
        <v>3</v>
      </c>
      <c r="B11" s="65"/>
      <c r="C11" s="43"/>
      <c r="D11" s="38"/>
      <c r="E11" s="38"/>
      <c r="F11" s="38"/>
      <c r="G11" s="38"/>
      <c r="H11" s="38"/>
      <c r="I11" s="38"/>
      <c r="J11" s="38"/>
      <c r="K11" s="38"/>
      <c r="L11" s="38"/>
      <c r="M11" s="38"/>
      <c r="N11" s="38"/>
      <c r="O11" s="38"/>
      <c r="P11" s="38"/>
      <c r="Q11" s="38"/>
      <c r="R11" s="137"/>
      <c r="S11" s="44"/>
      <c r="T11" s="61">
        <f t="shared" si="1"/>
        <v>0</v>
      </c>
      <c r="U11" s="49" t="e">
        <f t="shared" si="0"/>
        <v>#DIV/0!</v>
      </c>
      <c r="V11" s="33"/>
      <c r="W11" s="25"/>
      <c r="X11" s="25"/>
      <c r="Y11" s="25"/>
      <c r="Z11" s="25"/>
      <c r="AA11" s="25"/>
      <c r="AB11" s="25"/>
      <c r="AC11" s="25"/>
    </row>
    <row r="12" spans="1:29" x14ac:dyDescent="0.25">
      <c r="A12" s="39">
        <v>4</v>
      </c>
      <c r="B12" s="65"/>
      <c r="C12" s="43"/>
      <c r="D12" s="38"/>
      <c r="E12" s="38"/>
      <c r="F12" s="38"/>
      <c r="G12" s="38"/>
      <c r="H12" s="38"/>
      <c r="I12" s="38"/>
      <c r="J12" s="38"/>
      <c r="K12" s="38"/>
      <c r="L12" s="38"/>
      <c r="M12" s="38"/>
      <c r="N12" s="38"/>
      <c r="O12" s="38"/>
      <c r="P12" s="38"/>
      <c r="Q12" s="38"/>
      <c r="R12" s="137"/>
      <c r="S12" s="44"/>
      <c r="T12" s="61">
        <f t="shared" si="1"/>
        <v>0</v>
      </c>
      <c r="U12" s="49" t="e">
        <f t="shared" si="0"/>
        <v>#DIV/0!</v>
      </c>
      <c r="V12" s="33"/>
      <c r="W12" s="25"/>
      <c r="X12" s="25"/>
      <c r="Y12" s="25"/>
      <c r="Z12" s="25"/>
      <c r="AA12" s="25"/>
      <c r="AB12" s="25"/>
      <c r="AC12" s="25"/>
    </row>
    <row r="13" spans="1:29" x14ac:dyDescent="0.25">
      <c r="A13" s="39">
        <v>5</v>
      </c>
      <c r="B13" s="65"/>
      <c r="C13" s="43"/>
      <c r="D13" s="38"/>
      <c r="E13" s="38"/>
      <c r="F13" s="38"/>
      <c r="G13" s="38"/>
      <c r="H13" s="38"/>
      <c r="I13" s="38"/>
      <c r="J13" s="38"/>
      <c r="K13" s="38"/>
      <c r="L13" s="38"/>
      <c r="M13" s="38"/>
      <c r="N13" s="38"/>
      <c r="O13" s="38"/>
      <c r="P13" s="38"/>
      <c r="Q13" s="38"/>
      <c r="R13" s="137"/>
      <c r="S13" s="44"/>
      <c r="T13" s="61">
        <f t="shared" si="1"/>
        <v>0</v>
      </c>
      <c r="U13" s="49" t="e">
        <f t="shared" si="0"/>
        <v>#DIV/0!</v>
      </c>
      <c r="V13" s="33"/>
      <c r="W13" s="25"/>
      <c r="X13" s="25"/>
      <c r="Y13" s="25"/>
      <c r="Z13" s="25"/>
      <c r="AA13" s="25"/>
      <c r="AB13" s="25"/>
      <c r="AC13" s="25"/>
    </row>
    <row r="14" spans="1:29" x14ac:dyDescent="0.25">
      <c r="A14" s="39">
        <v>6</v>
      </c>
      <c r="B14" s="65"/>
      <c r="C14" s="43"/>
      <c r="D14" s="38"/>
      <c r="E14" s="38"/>
      <c r="F14" s="38"/>
      <c r="G14" s="38"/>
      <c r="H14" s="38"/>
      <c r="I14" s="38"/>
      <c r="J14" s="38"/>
      <c r="K14" s="38"/>
      <c r="L14" s="38"/>
      <c r="M14" s="38"/>
      <c r="N14" s="38"/>
      <c r="O14" s="38"/>
      <c r="P14" s="38"/>
      <c r="Q14" s="38"/>
      <c r="R14" s="137"/>
      <c r="S14" s="44"/>
      <c r="T14" s="61">
        <f t="shared" si="1"/>
        <v>0</v>
      </c>
      <c r="U14" s="49" t="e">
        <f t="shared" si="0"/>
        <v>#DIV/0!</v>
      </c>
      <c r="V14" s="33"/>
      <c r="W14" s="25"/>
      <c r="X14" s="25"/>
      <c r="Y14" s="25"/>
      <c r="Z14" s="25"/>
      <c r="AA14" s="25"/>
      <c r="AB14" s="25"/>
      <c r="AC14" s="25"/>
    </row>
    <row r="15" spans="1:29" x14ac:dyDescent="0.25">
      <c r="A15" s="39">
        <v>7</v>
      </c>
      <c r="B15" s="65"/>
      <c r="C15" s="43"/>
      <c r="D15" s="38"/>
      <c r="E15" s="38"/>
      <c r="F15" s="38"/>
      <c r="G15" s="38"/>
      <c r="H15" s="38"/>
      <c r="I15" s="38"/>
      <c r="J15" s="38"/>
      <c r="K15" s="38"/>
      <c r="L15" s="38"/>
      <c r="M15" s="38"/>
      <c r="N15" s="38"/>
      <c r="O15" s="38"/>
      <c r="P15" s="38"/>
      <c r="Q15" s="38"/>
      <c r="R15" s="137"/>
      <c r="S15" s="44"/>
      <c r="T15" s="61">
        <f t="shared" si="1"/>
        <v>0</v>
      </c>
      <c r="U15" s="49" t="e">
        <f t="shared" si="0"/>
        <v>#DIV/0!</v>
      </c>
      <c r="V15" s="33"/>
      <c r="W15" s="25"/>
      <c r="X15" s="25"/>
      <c r="Y15" s="25"/>
      <c r="Z15" s="25"/>
      <c r="AA15" s="25"/>
      <c r="AB15" s="25"/>
      <c r="AC15" s="25"/>
    </row>
    <row r="16" spans="1:29" x14ac:dyDescent="0.25">
      <c r="A16" s="39">
        <v>8</v>
      </c>
      <c r="B16" s="65"/>
      <c r="C16" s="43"/>
      <c r="D16" s="38"/>
      <c r="E16" s="38"/>
      <c r="F16" s="38"/>
      <c r="G16" s="38"/>
      <c r="H16" s="38"/>
      <c r="I16" s="38"/>
      <c r="J16" s="38"/>
      <c r="K16" s="38"/>
      <c r="L16" s="38"/>
      <c r="M16" s="38"/>
      <c r="N16" s="38"/>
      <c r="O16" s="38"/>
      <c r="P16" s="38"/>
      <c r="Q16" s="38"/>
      <c r="R16" s="137"/>
      <c r="S16" s="44"/>
      <c r="T16" s="61">
        <f t="shared" si="1"/>
        <v>0</v>
      </c>
      <c r="U16" s="49" t="e">
        <f t="shared" si="0"/>
        <v>#DIV/0!</v>
      </c>
      <c r="V16" s="33"/>
      <c r="W16" s="25"/>
      <c r="X16" s="25"/>
      <c r="Y16" s="25"/>
      <c r="Z16" s="25"/>
      <c r="AA16" s="25"/>
      <c r="AB16" s="25"/>
      <c r="AC16" s="25"/>
    </row>
    <row r="17" spans="1:29" x14ac:dyDescent="0.25">
      <c r="A17" s="39">
        <v>9</v>
      </c>
      <c r="B17" s="65"/>
      <c r="C17" s="43"/>
      <c r="D17" s="38"/>
      <c r="E17" s="38"/>
      <c r="F17" s="38"/>
      <c r="G17" s="38"/>
      <c r="H17" s="38"/>
      <c r="I17" s="38"/>
      <c r="J17" s="38"/>
      <c r="K17" s="38"/>
      <c r="L17" s="38"/>
      <c r="M17" s="38"/>
      <c r="N17" s="38"/>
      <c r="O17" s="38"/>
      <c r="P17" s="38"/>
      <c r="Q17" s="38"/>
      <c r="R17" s="137"/>
      <c r="S17" s="44"/>
      <c r="T17" s="61">
        <f t="shared" si="1"/>
        <v>0</v>
      </c>
      <c r="U17" s="49" t="e">
        <f t="shared" si="0"/>
        <v>#DIV/0!</v>
      </c>
      <c r="V17" s="33"/>
      <c r="W17" s="25"/>
      <c r="X17" s="25"/>
      <c r="Y17" s="25"/>
      <c r="Z17" s="25"/>
      <c r="AA17" s="25"/>
      <c r="AB17" s="25"/>
      <c r="AC17" s="25"/>
    </row>
    <row r="18" spans="1:29" x14ac:dyDescent="0.25">
      <c r="A18" s="39">
        <v>10</v>
      </c>
      <c r="B18" s="65"/>
      <c r="C18" s="43"/>
      <c r="D18" s="38"/>
      <c r="E18" s="38"/>
      <c r="F18" s="38"/>
      <c r="G18" s="38"/>
      <c r="H18" s="38"/>
      <c r="I18" s="38"/>
      <c r="J18" s="38"/>
      <c r="K18" s="38"/>
      <c r="L18" s="38"/>
      <c r="M18" s="38"/>
      <c r="N18" s="38"/>
      <c r="O18" s="38"/>
      <c r="P18" s="38"/>
      <c r="Q18" s="38"/>
      <c r="R18" s="137"/>
      <c r="S18" s="44"/>
      <c r="T18" s="61">
        <f t="shared" si="1"/>
        <v>0</v>
      </c>
      <c r="U18" s="49" t="e">
        <f t="shared" si="0"/>
        <v>#DIV/0!</v>
      </c>
      <c r="V18" s="33"/>
      <c r="W18" s="25"/>
      <c r="X18" s="25"/>
      <c r="Y18" s="25"/>
      <c r="Z18" s="25"/>
      <c r="AA18" s="25"/>
      <c r="AB18" s="25"/>
      <c r="AC18" s="25"/>
    </row>
    <row r="19" spans="1:29" x14ac:dyDescent="0.25">
      <c r="A19" s="39">
        <v>11</v>
      </c>
      <c r="B19" s="65"/>
      <c r="C19" s="43"/>
      <c r="D19" s="38"/>
      <c r="E19" s="38"/>
      <c r="F19" s="38"/>
      <c r="G19" s="38"/>
      <c r="H19" s="38"/>
      <c r="I19" s="38"/>
      <c r="J19" s="38"/>
      <c r="K19" s="38"/>
      <c r="L19" s="38"/>
      <c r="M19" s="38"/>
      <c r="N19" s="38"/>
      <c r="O19" s="38"/>
      <c r="P19" s="38"/>
      <c r="Q19" s="38"/>
      <c r="R19" s="137"/>
      <c r="S19" s="44"/>
      <c r="T19" s="61">
        <f t="shared" si="1"/>
        <v>0</v>
      </c>
      <c r="U19" s="49" t="e">
        <f t="shared" si="0"/>
        <v>#DIV/0!</v>
      </c>
      <c r="V19" s="33"/>
      <c r="W19" s="25"/>
      <c r="X19" s="25"/>
      <c r="Y19" s="25"/>
      <c r="Z19" s="25"/>
      <c r="AA19" s="25"/>
      <c r="AB19" s="25"/>
      <c r="AC19" s="25"/>
    </row>
    <row r="20" spans="1:29" x14ac:dyDescent="0.25">
      <c r="A20" s="39">
        <v>12</v>
      </c>
      <c r="B20" s="65"/>
      <c r="C20" s="43"/>
      <c r="D20" s="38"/>
      <c r="E20" s="38"/>
      <c r="F20" s="38"/>
      <c r="G20" s="38"/>
      <c r="H20" s="38"/>
      <c r="I20" s="38"/>
      <c r="J20" s="38"/>
      <c r="K20" s="38"/>
      <c r="L20" s="38"/>
      <c r="M20" s="38"/>
      <c r="N20" s="38"/>
      <c r="O20" s="38"/>
      <c r="P20" s="38"/>
      <c r="Q20" s="38"/>
      <c r="R20" s="137"/>
      <c r="S20" s="44"/>
      <c r="T20" s="61">
        <f t="shared" si="1"/>
        <v>0</v>
      </c>
      <c r="U20" s="49" t="e">
        <f t="shared" si="0"/>
        <v>#DIV/0!</v>
      </c>
      <c r="V20" s="33"/>
      <c r="W20" s="25"/>
      <c r="X20" s="25"/>
      <c r="Y20" s="25"/>
      <c r="Z20" s="25"/>
      <c r="AA20" s="25"/>
      <c r="AB20" s="25"/>
      <c r="AC20" s="25"/>
    </row>
    <row r="21" spans="1:29" x14ac:dyDescent="0.25">
      <c r="A21" s="39">
        <v>13</v>
      </c>
      <c r="B21" s="65"/>
      <c r="C21" s="43"/>
      <c r="D21" s="38"/>
      <c r="E21" s="38"/>
      <c r="F21" s="38"/>
      <c r="G21" s="38"/>
      <c r="H21" s="38"/>
      <c r="I21" s="38"/>
      <c r="J21" s="38"/>
      <c r="K21" s="38"/>
      <c r="L21" s="38"/>
      <c r="M21" s="38"/>
      <c r="N21" s="38"/>
      <c r="O21" s="38"/>
      <c r="P21" s="38"/>
      <c r="Q21" s="38"/>
      <c r="R21" s="137"/>
      <c r="S21" s="44"/>
      <c r="T21" s="61">
        <f t="shared" si="1"/>
        <v>0</v>
      </c>
      <c r="U21" s="49" t="e">
        <f t="shared" si="0"/>
        <v>#DIV/0!</v>
      </c>
      <c r="V21" s="33"/>
      <c r="W21" s="25"/>
      <c r="X21" s="25"/>
      <c r="Y21" s="25"/>
      <c r="Z21" s="25"/>
      <c r="AA21" s="25"/>
      <c r="AB21" s="25"/>
      <c r="AC21" s="25"/>
    </row>
    <row r="22" spans="1:29" x14ac:dyDescent="0.25">
      <c r="A22" s="39">
        <v>14</v>
      </c>
      <c r="B22" s="65"/>
      <c r="C22" s="43"/>
      <c r="D22" s="38"/>
      <c r="E22" s="38"/>
      <c r="F22" s="38"/>
      <c r="G22" s="38"/>
      <c r="H22" s="38"/>
      <c r="I22" s="38"/>
      <c r="J22" s="38"/>
      <c r="K22" s="38"/>
      <c r="L22" s="38"/>
      <c r="M22" s="38"/>
      <c r="N22" s="38"/>
      <c r="O22" s="38"/>
      <c r="P22" s="38"/>
      <c r="Q22" s="38"/>
      <c r="R22" s="137"/>
      <c r="S22" s="44"/>
      <c r="T22" s="61">
        <f t="shared" si="1"/>
        <v>0</v>
      </c>
      <c r="U22" s="49" t="e">
        <f t="shared" si="0"/>
        <v>#DIV/0!</v>
      </c>
      <c r="V22" s="33"/>
      <c r="W22" s="25"/>
      <c r="X22" s="25"/>
      <c r="Y22" s="25"/>
      <c r="Z22" s="25"/>
      <c r="AA22" s="25"/>
      <c r="AB22" s="25"/>
      <c r="AC22" s="25"/>
    </row>
    <row r="23" spans="1:29" x14ac:dyDescent="0.25">
      <c r="A23" s="39">
        <v>15</v>
      </c>
      <c r="B23" s="65"/>
      <c r="C23" s="43"/>
      <c r="D23" s="38"/>
      <c r="E23" s="38"/>
      <c r="F23" s="38"/>
      <c r="G23" s="38"/>
      <c r="H23" s="38"/>
      <c r="I23" s="38"/>
      <c r="J23" s="38"/>
      <c r="K23" s="38"/>
      <c r="L23" s="38"/>
      <c r="M23" s="38"/>
      <c r="N23" s="38"/>
      <c r="O23" s="38"/>
      <c r="P23" s="38"/>
      <c r="Q23" s="38"/>
      <c r="R23" s="137"/>
      <c r="S23" s="44"/>
      <c r="T23" s="61">
        <f t="shared" si="1"/>
        <v>0</v>
      </c>
      <c r="U23" s="49" t="e">
        <f t="shared" si="0"/>
        <v>#DIV/0!</v>
      </c>
      <c r="V23" s="33"/>
      <c r="W23" s="25"/>
      <c r="X23" s="25"/>
      <c r="Y23" s="25"/>
      <c r="Z23" s="25"/>
      <c r="AA23" s="25"/>
      <c r="AB23" s="25"/>
      <c r="AC23" s="25"/>
    </row>
    <row r="24" spans="1:29" x14ac:dyDescent="0.25">
      <c r="A24" s="39">
        <v>16</v>
      </c>
      <c r="B24" s="65"/>
      <c r="C24" s="43"/>
      <c r="D24" s="38"/>
      <c r="E24" s="38"/>
      <c r="F24" s="38"/>
      <c r="G24" s="38"/>
      <c r="H24" s="38"/>
      <c r="I24" s="38"/>
      <c r="J24" s="38"/>
      <c r="K24" s="38"/>
      <c r="L24" s="38"/>
      <c r="M24" s="38"/>
      <c r="N24" s="38"/>
      <c r="O24" s="38"/>
      <c r="P24" s="38"/>
      <c r="Q24" s="38"/>
      <c r="R24" s="137"/>
      <c r="S24" s="44"/>
      <c r="T24" s="61">
        <f t="shared" si="1"/>
        <v>0</v>
      </c>
      <c r="U24" s="49" t="e">
        <f t="shared" si="0"/>
        <v>#DIV/0!</v>
      </c>
      <c r="V24" s="33"/>
      <c r="W24" s="25"/>
      <c r="X24" s="25"/>
      <c r="Y24" s="25"/>
      <c r="Z24" s="25"/>
      <c r="AA24" s="25"/>
      <c r="AB24" s="25"/>
      <c r="AC24" s="25"/>
    </row>
    <row r="25" spans="1:29" x14ac:dyDescent="0.25">
      <c r="A25" s="39">
        <v>17</v>
      </c>
      <c r="B25" s="65"/>
      <c r="C25" s="43"/>
      <c r="D25" s="38"/>
      <c r="E25" s="38"/>
      <c r="F25" s="38"/>
      <c r="G25" s="38"/>
      <c r="H25" s="38"/>
      <c r="I25" s="38"/>
      <c r="J25" s="38"/>
      <c r="K25" s="38"/>
      <c r="L25" s="38"/>
      <c r="M25" s="38"/>
      <c r="N25" s="38"/>
      <c r="O25" s="38"/>
      <c r="P25" s="38"/>
      <c r="Q25" s="38"/>
      <c r="R25" s="137"/>
      <c r="S25" s="44"/>
      <c r="T25" s="61">
        <f t="shared" si="1"/>
        <v>0</v>
      </c>
      <c r="U25" s="49" t="e">
        <f t="shared" si="0"/>
        <v>#DIV/0!</v>
      </c>
      <c r="V25" s="33"/>
      <c r="W25" s="25"/>
      <c r="X25" s="25"/>
      <c r="Y25" s="25"/>
      <c r="Z25" s="25"/>
      <c r="AA25" s="25"/>
      <c r="AB25" s="25"/>
      <c r="AC25" s="25"/>
    </row>
    <row r="26" spans="1:29" x14ac:dyDescent="0.25">
      <c r="A26" s="39">
        <v>18</v>
      </c>
      <c r="B26" s="65"/>
      <c r="C26" s="43"/>
      <c r="D26" s="38"/>
      <c r="E26" s="38"/>
      <c r="F26" s="38"/>
      <c r="G26" s="38"/>
      <c r="H26" s="38"/>
      <c r="I26" s="38"/>
      <c r="J26" s="38"/>
      <c r="K26" s="38"/>
      <c r="L26" s="38"/>
      <c r="M26" s="38"/>
      <c r="N26" s="38"/>
      <c r="O26" s="38"/>
      <c r="P26" s="38"/>
      <c r="Q26" s="38"/>
      <c r="R26" s="137"/>
      <c r="S26" s="44"/>
      <c r="T26" s="61">
        <f t="shared" si="1"/>
        <v>0</v>
      </c>
      <c r="U26" s="49" t="e">
        <f t="shared" si="0"/>
        <v>#DIV/0!</v>
      </c>
      <c r="V26" s="33"/>
      <c r="W26" s="25"/>
      <c r="X26" s="25"/>
      <c r="Y26" s="25"/>
      <c r="Z26" s="25"/>
      <c r="AA26" s="25"/>
      <c r="AB26" s="25"/>
      <c r="AC26" s="25"/>
    </row>
    <row r="27" spans="1:29" x14ac:dyDescent="0.25">
      <c r="A27" s="39">
        <v>19</v>
      </c>
      <c r="B27" s="65"/>
      <c r="C27" s="43"/>
      <c r="D27" s="38"/>
      <c r="E27" s="38"/>
      <c r="F27" s="38"/>
      <c r="G27" s="38"/>
      <c r="H27" s="38"/>
      <c r="I27" s="38"/>
      <c r="J27" s="38"/>
      <c r="K27" s="38"/>
      <c r="L27" s="38"/>
      <c r="M27" s="38"/>
      <c r="N27" s="38"/>
      <c r="O27" s="38"/>
      <c r="P27" s="38"/>
      <c r="Q27" s="38"/>
      <c r="R27" s="137"/>
      <c r="S27" s="44"/>
      <c r="T27" s="61">
        <f t="shared" si="1"/>
        <v>0</v>
      </c>
      <c r="U27" s="49" t="e">
        <f t="shared" si="0"/>
        <v>#DIV/0!</v>
      </c>
      <c r="V27" s="33"/>
      <c r="W27" s="25"/>
      <c r="X27" s="25"/>
      <c r="Y27" s="25"/>
      <c r="Z27" s="25"/>
      <c r="AA27" s="25"/>
      <c r="AB27" s="25"/>
      <c r="AC27" s="25"/>
    </row>
    <row r="28" spans="1:29" x14ac:dyDescent="0.25">
      <c r="A28" s="39">
        <v>20</v>
      </c>
      <c r="B28" s="65"/>
      <c r="C28" s="43"/>
      <c r="D28" s="38"/>
      <c r="E28" s="38"/>
      <c r="F28" s="38"/>
      <c r="G28" s="38"/>
      <c r="H28" s="38"/>
      <c r="I28" s="38"/>
      <c r="J28" s="38"/>
      <c r="K28" s="38"/>
      <c r="L28" s="38"/>
      <c r="M28" s="38"/>
      <c r="N28" s="38"/>
      <c r="O28" s="38"/>
      <c r="P28" s="38"/>
      <c r="Q28" s="38"/>
      <c r="R28" s="137"/>
      <c r="S28" s="44"/>
      <c r="T28" s="61">
        <f t="shared" si="1"/>
        <v>0</v>
      </c>
      <c r="U28" s="49" t="e">
        <f t="shared" si="0"/>
        <v>#DIV/0!</v>
      </c>
      <c r="V28" s="33"/>
      <c r="W28" s="25"/>
      <c r="X28" s="25"/>
      <c r="Y28" s="25"/>
      <c r="Z28" s="25"/>
      <c r="AA28" s="25"/>
      <c r="AB28" s="25"/>
      <c r="AC28" s="25"/>
    </row>
    <row r="29" spans="1:29" x14ac:dyDescent="0.25">
      <c r="A29" s="39">
        <v>21</v>
      </c>
      <c r="B29" s="65"/>
      <c r="C29" s="43"/>
      <c r="D29" s="38"/>
      <c r="E29" s="38"/>
      <c r="F29" s="38"/>
      <c r="G29" s="38"/>
      <c r="H29" s="38"/>
      <c r="I29" s="38"/>
      <c r="J29" s="38"/>
      <c r="K29" s="38"/>
      <c r="L29" s="38"/>
      <c r="M29" s="38"/>
      <c r="N29" s="38"/>
      <c r="O29" s="38"/>
      <c r="P29" s="38"/>
      <c r="Q29" s="38"/>
      <c r="R29" s="137"/>
      <c r="S29" s="44"/>
      <c r="T29" s="61">
        <f t="shared" si="1"/>
        <v>0</v>
      </c>
      <c r="U29" s="49" t="e">
        <f t="shared" si="0"/>
        <v>#DIV/0!</v>
      </c>
      <c r="V29" s="33"/>
      <c r="W29" s="25"/>
      <c r="X29" s="25"/>
      <c r="Y29" s="25"/>
      <c r="Z29" s="25"/>
      <c r="AA29" s="25"/>
      <c r="AB29" s="25"/>
      <c r="AC29" s="25"/>
    </row>
    <row r="30" spans="1:29" x14ac:dyDescent="0.25">
      <c r="A30" s="39">
        <v>22</v>
      </c>
      <c r="B30" s="65"/>
      <c r="C30" s="43"/>
      <c r="D30" s="38"/>
      <c r="E30" s="38"/>
      <c r="F30" s="38"/>
      <c r="G30" s="38"/>
      <c r="H30" s="38"/>
      <c r="I30" s="38"/>
      <c r="J30" s="38"/>
      <c r="K30" s="38"/>
      <c r="L30" s="38"/>
      <c r="M30" s="38"/>
      <c r="N30" s="38"/>
      <c r="O30" s="38"/>
      <c r="P30" s="38"/>
      <c r="Q30" s="38"/>
      <c r="R30" s="137"/>
      <c r="S30" s="44"/>
      <c r="T30" s="61">
        <f t="shared" si="1"/>
        <v>0</v>
      </c>
      <c r="U30" s="49" t="e">
        <f t="shared" si="0"/>
        <v>#DIV/0!</v>
      </c>
      <c r="V30" s="33"/>
      <c r="W30" s="25"/>
      <c r="X30" s="25"/>
      <c r="Y30" s="25"/>
      <c r="Z30" s="25"/>
      <c r="AA30" s="25"/>
      <c r="AB30" s="25"/>
      <c r="AC30" s="25"/>
    </row>
    <row r="31" spans="1:29" x14ac:dyDescent="0.25">
      <c r="A31" s="39">
        <v>23</v>
      </c>
      <c r="B31" s="65"/>
      <c r="C31" s="43"/>
      <c r="D31" s="38"/>
      <c r="E31" s="38"/>
      <c r="F31" s="38"/>
      <c r="G31" s="38"/>
      <c r="H31" s="38"/>
      <c r="I31" s="38"/>
      <c r="J31" s="38"/>
      <c r="K31" s="38"/>
      <c r="L31" s="38"/>
      <c r="M31" s="38"/>
      <c r="N31" s="38"/>
      <c r="O31" s="38"/>
      <c r="P31" s="38"/>
      <c r="Q31" s="38"/>
      <c r="R31" s="137"/>
      <c r="S31" s="44"/>
      <c r="T31" s="61">
        <f t="shared" si="1"/>
        <v>0</v>
      </c>
      <c r="U31" s="49" t="e">
        <f t="shared" si="0"/>
        <v>#DIV/0!</v>
      </c>
      <c r="V31" s="33"/>
      <c r="W31" s="25"/>
      <c r="X31" s="25"/>
      <c r="Y31" s="25"/>
      <c r="Z31" s="25"/>
      <c r="AA31" s="25"/>
      <c r="AB31" s="25"/>
      <c r="AC31" s="25"/>
    </row>
    <row r="32" spans="1:29" x14ac:dyDescent="0.25">
      <c r="A32" s="39">
        <v>24</v>
      </c>
      <c r="B32" s="65"/>
      <c r="C32" s="43"/>
      <c r="D32" s="38"/>
      <c r="E32" s="38"/>
      <c r="F32" s="38"/>
      <c r="G32" s="38"/>
      <c r="H32" s="38"/>
      <c r="I32" s="38"/>
      <c r="J32" s="38"/>
      <c r="K32" s="38"/>
      <c r="L32" s="38"/>
      <c r="M32" s="38"/>
      <c r="N32" s="38"/>
      <c r="O32" s="38"/>
      <c r="P32" s="38"/>
      <c r="Q32" s="38"/>
      <c r="R32" s="137"/>
      <c r="S32" s="44"/>
      <c r="T32" s="61">
        <f t="shared" ref="T32:T38" si="2">SUM(C32:S32)</f>
        <v>0</v>
      </c>
      <c r="U32" s="49" t="e">
        <f t="shared" si="0"/>
        <v>#DIV/0!</v>
      </c>
      <c r="V32" s="33"/>
      <c r="W32" s="25"/>
      <c r="X32" s="25"/>
      <c r="Y32" s="25"/>
      <c r="Z32" s="25"/>
      <c r="AA32" s="25"/>
      <c r="AB32" s="25"/>
      <c r="AC32" s="25"/>
    </row>
    <row r="33" spans="1:29" x14ac:dyDescent="0.25">
      <c r="A33" s="39">
        <v>25</v>
      </c>
      <c r="B33" s="65"/>
      <c r="C33" s="43"/>
      <c r="D33" s="38"/>
      <c r="E33" s="38"/>
      <c r="F33" s="38"/>
      <c r="G33" s="38"/>
      <c r="H33" s="38"/>
      <c r="I33" s="38"/>
      <c r="J33" s="38"/>
      <c r="K33" s="38"/>
      <c r="L33" s="38"/>
      <c r="M33" s="38"/>
      <c r="N33" s="38"/>
      <c r="O33" s="38"/>
      <c r="P33" s="38"/>
      <c r="Q33" s="38"/>
      <c r="R33" s="137"/>
      <c r="S33" s="44"/>
      <c r="T33" s="61">
        <f t="shared" si="2"/>
        <v>0</v>
      </c>
      <c r="U33" s="49" t="e">
        <f t="shared" si="0"/>
        <v>#DIV/0!</v>
      </c>
      <c r="V33" s="33"/>
      <c r="W33" s="25"/>
      <c r="X33" s="25"/>
      <c r="Y33" s="25"/>
      <c r="Z33" s="25"/>
      <c r="AA33" s="25"/>
      <c r="AB33" s="25"/>
      <c r="AC33" s="25"/>
    </row>
    <row r="34" spans="1:29" x14ac:dyDescent="0.25">
      <c r="A34" s="39">
        <v>26</v>
      </c>
      <c r="B34" s="65"/>
      <c r="C34" s="43"/>
      <c r="D34" s="38"/>
      <c r="E34" s="38"/>
      <c r="F34" s="38"/>
      <c r="G34" s="38"/>
      <c r="H34" s="38"/>
      <c r="I34" s="38"/>
      <c r="J34" s="38"/>
      <c r="K34" s="38"/>
      <c r="L34" s="38"/>
      <c r="M34" s="38"/>
      <c r="N34" s="38"/>
      <c r="O34" s="38"/>
      <c r="P34" s="38"/>
      <c r="Q34" s="38"/>
      <c r="R34" s="137"/>
      <c r="S34" s="44"/>
      <c r="T34" s="61">
        <f t="shared" si="2"/>
        <v>0</v>
      </c>
      <c r="U34" s="49" t="e">
        <f t="shared" si="0"/>
        <v>#DIV/0!</v>
      </c>
      <c r="V34" s="33"/>
      <c r="W34" s="25"/>
      <c r="X34" s="25"/>
      <c r="Y34" s="25"/>
      <c r="Z34" s="25"/>
      <c r="AA34" s="25"/>
      <c r="AB34" s="25"/>
      <c r="AC34" s="25"/>
    </row>
    <row r="35" spans="1:29" x14ac:dyDescent="0.25">
      <c r="A35" s="39">
        <v>27</v>
      </c>
      <c r="B35" s="65"/>
      <c r="C35" s="43"/>
      <c r="D35" s="38"/>
      <c r="E35" s="38"/>
      <c r="F35" s="38"/>
      <c r="G35" s="38"/>
      <c r="H35" s="38"/>
      <c r="I35" s="38"/>
      <c r="J35" s="38"/>
      <c r="K35" s="38"/>
      <c r="L35" s="38"/>
      <c r="M35" s="38"/>
      <c r="N35" s="38"/>
      <c r="O35" s="38"/>
      <c r="P35" s="38"/>
      <c r="Q35" s="38"/>
      <c r="R35" s="137"/>
      <c r="S35" s="44"/>
      <c r="T35" s="61">
        <f t="shared" si="2"/>
        <v>0</v>
      </c>
      <c r="U35" s="49" t="e">
        <f t="shared" si="0"/>
        <v>#DIV/0!</v>
      </c>
      <c r="V35" s="33"/>
      <c r="W35" s="25"/>
      <c r="X35" s="25"/>
      <c r="Y35" s="25"/>
      <c r="Z35" s="25"/>
      <c r="AA35" s="27"/>
      <c r="AB35" s="25"/>
      <c r="AC35" s="25"/>
    </row>
    <row r="36" spans="1:29" x14ac:dyDescent="0.25">
      <c r="A36" s="39">
        <v>28</v>
      </c>
      <c r="B36" s="65"/>
      <c r="C36" s="43"/>
      <c r="D36" s="38"/>
      <c r="E36" s="38"/>
      <c r="F36" s="38"/>
      <c r="G36" s="38"/>
      <c r="H36" s="38"/>
      <c r="I36" s="38"/>
      <c r="J36" s="38"/>
      <c r="K36" s="38"/>
      <c r="L36" s="38"/>
      <c r="M36" s="38"/>
      <c r="N36" s="38"/>
      <c r="O36" s="38"/>
      <c r="P36" s="38"/>
      <c r="Q36" s="38"/>
      <c r="R36" s="137"/>
      <c r="S36" s="44"/>
      <c r="T36" s="61">
        <f t="shared" si="2"/>
        <v>0</v>
      </c>
      <c r="U36" s="49" t="e">
        <f t="shared" si="0"/>
        <v>#DIV/0!</v>
      </c>
      <c r="V36" s="33"/>
      <c r="W36" s="25"/>
      <c r="X36" s="25"/>
      <c r="Y36" s="25"/>
      <c r="Z36" s="25"/>
      <c r="AA36" s="25"/>
      <c r="AB36" s="25"/>
      <c r="AC36" s="25"/>
    </row>
    <row r="37" spans="1:29" x14ac:dyDescent="0.25">
      <c r="A37" s="39">
        <v>29</v>
      </c>
      <c r="B37" s="65"/>
      <c r="C37" s="43"/>
      <c r="D37" s="38"/>
      <c r="E37" s="38"/>
      <c r="F37" s="38"/>
      <c r="G37" s="38"/>
      <c r="H37" s="38"/>
      <c r="I37" s="38"/>
      <c r="J37" s="38"/>
      <c r="K37" s="38"/>
      <c r="L37" s="38"/>
      <c r="M37" s="38"/>
      <c r="N37" s="38"/>
      <c r="O37" s="38"/>
      <c r="P37" s="38"/>
      <c r="Q37" s="38"/>
      <c r="R37" s="137"/>
      <c r="S37" s="44"/>
      <c r="T37" s="61">
        <f t="shared" si="2"/>
        <v>0</v>
      </c>
      <c r="U37" s="49" t="e">
        <f t="shared" si="0"/>
        <v>#DIV/0!</v>
      </c>
      <c r="V37" s="33"/>
      <c r="W37" s="25"/>
      <c r="X37" s="25"/>
      <c r="Y37" s="25"/>
      <c r="Z37" s="25"/>
      <c r="AA37" s="25"/>
      <c r="AB37" s="25"/>
      <c r="AC37" s="25"/>
    </row>
    <row r="38" spans="1:29" x14ac:dyDescent="0.25">
      <c r="A38" s="40">
        <v>30</v>
      </c>
      <c r="B38" s="66"/>
      <c r="C38" s="45"/>
      <c r="D38" s="46"/>
      <c r="E38" s="46"/>
      <c r="F38" s="46"/>
      <c r="G38" s="46"/>
      <c r="H38" s="46"/>
      <c r="I38" s="46"/>
      <c r="J38" s="46"/>
      <c r="K38" s="46"/>
      <c r="L38" s="46"/>
      <c r="M38" s="46"/>
      <c r="N38" s="46"/>
      <c r="O38" s="46"/>
      <c r="P38" s="46"/>
      <c r="Q38" s="46"/>
      <c r="R38" s="138"/>
      <c r="S38" s="47"/>
      <c r="T38" s="62">
        <f t="shared" si="2"/>
        <v>0</v>
      </c>
      <c r="U38" s="50" t="e">
        <f>T38/$K$5</f>
        <v>#DIV/0!</v>
      </c>
      <c r="V38" s="33"/>
      <c r="W38" s="25"/>
      <c r="X38" s="25"/>
      <c r="Y38" s="25"/>
      <c r="Z38" s="25"/>
      <c r="AA38" s="25"/>
      <c r="AB38" s="25"/>
      <c r="AC38" s="25"/>
    </row>
    <row r="39" spans="1:29" x14ac:dyDescent="0.25">
      <c r="A39" s="67" t="s">
        <v>121</v>
      </c>
      <c r="B39" s="68"/>
      <c r="C39" s="34">
        <f>SUM(C9:C38)</f>
        <v>0</v>
      </c>
      <c r="D39" s="35">
        <f t="shared" ref="D39:S39" si="3">SUM(D9:D38)</f>
        <v>0</v>
      </c>
      <c r="E39" s="35">
        <f t="shared" si="3"/>
        <v>0</v>
      </c>
      <c r="F39" s="35">
        <f t="shared" si="3"/>
        <v>0</v>
      </c>
      <c r="G39" s="35">
        <f t="shared" si="3"/>
        <v>0</v>
      </c>
      <c r="H39" s="35">
        <f t="shared" si="3"/>
        <v>0</v>
      </c>
      <c r="I39" s="35">
        <f t="shared" si="3"/>
        <v>0</v>
      </c>
      <c r="J39" s="35">
        <f t="shared" si="3"/>
        <v>0</v>
      </c>
      <c r="K39" s="35">
        <f t="shared" si="3"/>
        <v>0</v>
      </c>
      <c r="L39" s="35">
        <f t="shared" si="3"/>
        <v>0</v>
      </c>
      <c r="M39" s="35">
        <f t="shared" si="3"/>
        <v>0</v>
      </c>
      <c r="N39" s="35">
        <f t="shared" si="3"/>
        <v>0</v>
      </c>
      <c r="O39" s="35">
        <f t="shared" si="3"/>
        <v>0</v>
      </c>
      <c r="P39" s="35">
        <f t="shared" si="3"/>
        <v>0</v>
      </c>
      <c r="Q39" s="35">
        <f t="shared" si="3"/>
        <v>0</v>
      </c>
      <c r="R39" s="36">
        <f>SUM(R9:R38)</f>
        <v>0</v>
      </c>
      <c r="S39" s="36">
        <f t="shared" si="3"/>
        <v>0</v>
      </c>
      <c r="T39" s="63">
        <f>SUM(T9:T38)</f>
        <v>0</v>
      </c>
      <c r="U39" s="37" t="s">
        <v>146</v>
      </c>
      <c r="V39" s="33"/>
      <c r="W39" s="25"/>
      <c r="X39" s="25"/>
      <c r="Y39" s="25"/>
      <c r="Z39" s="25"/>
      <c r="AA39" s="25"/>
      <c r="AB39" s="25"/>
      <c r="AC39" s="25"/>
    </row>
    <row r="40" spans="1:29" x14ac:dyDescent="0.25">
      <c r="A40" s="69" t="s">
        <v>125</v>
      </c>
      <c r="B40" s="70"/>
      <c r="C40" s="22" t="e">
        <f>C39/($K$3*C7)</f>
        <v>#N/A</v>
      </c>
      <c r="D40" s="20" t="e">
        <f t="shared" ref="D40:S40" si="4">D39/($K$3*D7)</f>
        <v>#N/A</v>
      </c>
      <c r="E40" s="20" t="e">
        <f t="shared" si="4"/>
        <v>#N/A</v>
      </c>
      <c r="F40" s="20" t="e">
        <f t="shared" si="4"/>
        <v>#N/A</v>
      </c>
      <c r="G40" s="20" t="e">
        <f t="shared" si="4"/>
        <v>#N/A</v>
      </c>
      <c r="H40" s="20" t="e">
        <f t="shared" si="4"/>
        <v>#N/A</v>
      </c>
      <c r="I40" s="20" t="e">
        <f>I39/($K$3*I7)</f>
        <v>#N/A</v>
      </c>
      <c r="J40" s="20" t="e">
        <f t="shared" si="4"/>
        <v>#N/A</v>
      </c>
      <c r="K40" s="20" t="e">
        <f t="shared" si="4"/>
        <v>#N/A</v>
      </c>
      <c r="L40" s="20" t="e">
        <f t="shared" si="4"/>
        <v>#N/A</v>
      </c>
      <c r="M40" s="20" t="e">
        <f t="shared" si="4"/>
        <v>#N/A</v>
      </c>
      <c r="N40" s="20" t="e">
        <f>N39/($K$3*N7)</f>
        <v>#N/A</v>
      </c>
      <c r="O40" s="20" t="e">
        <f t="shared" si="4"/>
        <v>#N/A</v>
      </c>
      <c r="P40" s="20" t="e">
        <f t="shared" si="4"/>
        <v>#N/A</v>
      </c>
      <c r="Q40" s="20" t="e">
        <f t="shared" si="4"/>
        <v>#N/A</v>
      </c>
      <c r="R40" s="23" t="e">
        <f>R39/($K$3*R7)</f>
        <v>#N/A</v>
      </c>
      <c r="S40" s="23" t="e">
        <f t="shared" si="4"/>
        <v>#N/A</v>
      </c>
      <c r="T40" s="21"/>
      <c r="U40" s="19" t="e">
        <f>T39/($K$5*$K$3)</f>
        <v>#DIV/0!</v>
      </c>
      <c r="V40" s="25"/>
      <c r="W40" s="25"/>
      <c r="X40" s="25"/>
      <c r="Y40" s="25"/>
      <c r="Z40" s="25"/>
      <c r="AA40" s="25"/>
      <c r="AB40" s="25"/>
      <c r="AC40" s="25"/>
    </row>
    <row r="41" spans="1:29" ht="26.25" customHeight="1"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row>
    <row r="42" spans="1:29" x14ac:dyDescent="0.25">
      <c r="A42" s="25"/>
      <c r="B42" s="25"/>
      <c r="C42" s="25"/>
      <c r="D42" s="25"/>
      <c r="E42" s="25"/>
      <c r="F42" s="25"/>
      <c r="G42" s="25"/>
      <c r="H42" s="25"/>
      <c r="I42" s="25"/>
      <c r="J42" s="25"/>
      <c r="K42" s="25"/>
      <c r="L42" s="25"/>
      <c r="M42" s="25"/>
      <c r="N42" s="25"/>
      <c r="O42" s="25"/>
      <c r="P42" s="25"/>
      <c r="Q42" s="25"/>
      <c r="R42" s="25"/>
      <c r="S42" s="25"/>
      <c r="T42" s="25"/>
      <c r="U42" s="25"/>
      <c r="W42" s="25"/>
      <c r="X42" s="25"/>
      <c r="Y42" s="25"/>
      <c r="Z42" s="25"/>
      <c r="AA42" s="25"/>
      <c r="AB42" s="25"/>
      <c r="AC42" s="25"/>
    </row>
    <row r="45" spans="1:29" x14ac:dyDescent="0.25">
      <c r="C45" t="s">
        <v>142</v>
      </c>
    </row>
  </sheetData>
  <sheetProtection algorithmName="SHA-512" hashValue="EilVdq5imLHoK34p7WsQe+tIHsKyFR/2C2vVXU5YFVVjU+83+QSV6WjICXR9QKKKbWD2PFObcYUDIsilrXKxUw==" saltValue="IBdqjekaAPPK5ANjXQ3FTw==" spinCount="100000" sheet="1" objects="1" scenarios="1"/>
  <mergeCells count="5">
    <mergeCell ref="T3:U3"/>
    <mergeCell ref="C5:F5"/>
    <mergeCell ref="I3:J3"/>
    <mergeCell ref="B3:D3"/>
    <mergeCell ref="N1:U1"/>
  </mergeCells>
  <conditionalFormatting sqref="U9:U38 U40">
    <cfRule type="expression" dxfId="77" priority="57">
      <formula>$U9&gt;0</formula>
    </cfRule>
    <cfRule type="expression" dxfId="76" priority="60">
      <formula>0</formula>
    </cfRule>
  </conditionalFormatting>
  <conditionalFormatting sqref="C40:S40">
    <cfRule type="expression" dxfId="75" priority="58">
      <formula>C$40&gt;0</formula>
    </cfRule>
  </conditionalFormatting>
  <conditionalFormatting sqref="T9">
    <cfRule type="expression" dxfId="74" priority="55">
      <formula>$T$9&gt;0</formula>
    </cfRule>
  </conditionalFormatting>
  <conditionalFormatting sqref="T10">
    <cfRule type="expression" dxfId="73" priority="54">
      <formula>$T$10&gt;0</formula>
    </cfRule>
  </conditionalFormatting>
  <conditionalFormatting sqref="T11">
    <cfRule type="expression" dxfId="72" priority="53">
      <formula>$T$11&gt;0</formula>
    </cfRule>
  </conditionalFormatting>
  <conditionalFormatting sqref="T12">
    <cfRule type="expression" dxfId="71" priority="52">
      <formula>$T$12&gt;0</formula>
    </cfRule>
  </conditionalFormatting>
  <conditionalFormatting sqref="C7:S7">
    <cfRule type="expression" dxfId="70" priority="51">
      <formula>$C$7&gt;0</formula>
    </cfRule>
  </conditionalFormatting>
  <conditionalFormatting sqref="S7">
    <cfRule type="expression" dxfId="69" priority="50">
      <formula>$S$7=0</formula>
    </cfRule>
  </conditionalFormatting>
  <conditionalFormatting sqref="O7">
    <cfRule type="expression" dxfId="68" priority="49">
      <formula>$O$7=0</formula>
    </cfRule>
  </conditionalFormatting>
  <conditionalFormatting sqref="P7">
    <cfRule type="expression" dxfId="67" priority="48">
      <formula>$P$7=0</formula>
    </cfRule>
  </conditionalFormatting>
  <conditionalFormatting sqref="Q7">
    <cfRule type="expression" dxfId="66" priority="47">
      <formula>$Q$7=0</formula>
    </cfRule>
  </conditionalFormatting>
  <conditionalFormatting sqref="N7">
    <cfRule type="expression" dxfId="65" priority="46">
      <formula>$N$7=0</formula>
    </cfRule>
  </conditionalFormatting>
  <conditionalFormatting sqref="N39">
    <cfRule type="expression" dxfId="64" priority="44">
      <formula>$N$7=0</formula>
    </cfRule>
  </conditionalFormatting>
  <conditionalFormatting sqref="O39">
    <cfRule type="expression" dxfId="63" priority="43">
      <formula>$O$7=0</formula>
    </cfRule>
  </conditionalFormatting>
  <conditionalFormatting sqref="P39">
    <cfRule type="expression" dxfId="62" priority="42">
      <formula>$P$7=0</formula>
    </cfRule>
  </conditionalFormatting>
  <conditionalFormatting sqref="Q39">
    <cfRule type="expression" dxfId="61" priority="41">
      <formula>$Q$7=0</formula>
    </cfRule>
  </conditionalFormatting>
  <conditionalFormatting sqref="S39">
    <cfRule type="expression" dxfId="60" priority="40">
      <formula>$S$7=0</formula>
    </cfRule>
  </conditionalFormatting>
  <conditionalFormatting sqref="N8">
    <cfRule type="expression" dxfId="59" priority="39">
      <formula>$N$7=0</formula>
    </cfRule>
  </conditionalFormatting>
  <conditionalFormatting sqref="O8">
    <cfRule type="expression" dxfId="58" priority="38">
      <formula>$O$7=0</formula>
    </cfRule>
  </conditionalFormatting>
  <conditionalFormatting sqref="P8">
    <cfRule type="expression" dxfId="57" priority="37">
      <formula>$P$7=0</formula>
    </cfRule>
  </conditionalFormatting>
  <conditionalFormatting sqref="Q8">
    <cfRule type="expression" dxfId="56" priority="36">
      <formula>$Q$7=0</formula>
    </cfRule>
  </conditionalFormatting>
  <conditionalFormatting sqref="S8">
    <cfRule type="expression" dxfId="55" priority="35">
      <formula>$S$7=0</formula>
    </cfRule>
  </conditionalFormatting>
  <conditionalFormatting sqref="T13">
    <cfRule type="expression" dxfId="54" priority="34">
      <formula>$T$13&gt;0</formula>
    </cfRule>
  </conditionalFormatting>
  <conditionalFormatting sqref="T14">
    <cfRule type="expression" dxfId="53" priority="33">
      <formula>$T$14&gt;0</formula>
    </cfRule>
  </conditionalFormatting>
  <conditionalFormatting sqref="T15">
    <cfRule type="expression" dxfId="52" priority="32">
      <formula>$T$15&gt;0</formula>
    </cfRule>
  </conditionalFormatting>
  <conditionalFormatting sqref="T16">
    <cfRule type="expression" dxfId="51" priority="31">
      <formula>$T$16&gt;0</formula>
    </cfRule>
  </conditionalFormatting>
  <conditionalFormatting sqref="T17">
    <cfRule type="expression" dxfId="50" priority="30">
      <formula>$T$17&gt;0</formula>
    </cfRule>
  </conditionalFormatting>
  <conditionalFormatting sqref="T18">
    <cfRule type="expression" dxfId="49" priority="29">
      <formula>$T$18&gt;0</formula>
    </cfRule>
  </conditionalFormatting>
  <conditionalFormatting sqref="T19">
    <cfRule type="expression" dxfId="48" priority="28">
      <formula>$T$19&gt;0</formula>
    </cfRule>
  </conditionalFormatting>
  <conditionalFormatting sqref="T20">
    <cfRule type="expression" dxfId="47" priority="27">
      <formula>$T$20&gt;0</formula>
    </cfRule>
  </conditionalFormatting>
  <conditionalFormatting sqref="T21">
    <cfRule type="expression" dxfId="46" priority="26">
      <formula>$T$21&gt;0</formula>
    </cfRule>
  </conditionalFormatting>
  <conditionalFormatting sqref="T22">
    <cfRule type="expression" dxfId="45" priority="25">
      <formula>$T$22&gt;0</formula>
    </cfRule>
  </conditionalFormatting>
  <conditionalFormatting sqref="T23">
    <cfRule type="expression" dxfId="44" priority="24">
      <formula>$T$23&gt;0</formula>
    </cfRule>
  </conditionalFormatting>
  <conditionalFormatting sqref="T24">
    <cfRule type="expression" dxfId="43" priority="23">
      <formula>$T$24&gt;0</formula>
    </cfRule>
  </conditionalFormatting>
  <conditionalFormatting sqref="T25">
    <cfRule type="expression" dxfId="42" priority="22">
      <formula>$T$25</formula>
    </cfRule>
  </conditionalFormatting>
  <conditionalFormatting sqref="T26">
    <cfRule type="expression" dxfId="41" priority="21">
      <formula>$T$26&gt;0</formula>
    </cfRule>
  </conditionalFormatting>
  <conditionalFormatting sqref="T27">
    <cfRule type="expression" dxfId="40" priority="20">
      <formula>$T$27&gt;0</formula>
    </cfRule>
  </conditionalFormatting>
  <conditionalFormatting sqref="T28">
    <cfRule type="expression" dxfId="39" priority="19">
      <formula>$T$28&gt;0</formula>
    </cfRule>
  </conditionalFormatting>
  <conditionalFormatting sqref="T29">
    <cfRule type="expression" dxfId="38" priority="18">
      <formula>$T$29&gt;0</formula>
    </cfRule>
  </conditionalFormatting>
  <conditionalFormatting sqref="T30">
    <cfRule type="expression" dxfId="37" priority="17">
      <formula>$T$30&gt;0</formula>
    </cfRule>
  </conditionalFormatting>
  <conditionalFormatting sqref="T31">
    <cfRule type="expression" dxfId="36" priority="16">
      <formula>$T$31&gt;0</formula>
    </cfRule>
  </conditionalFormatting>
  <conditionalFormatting sqref="T32">
    <cfRule type="expression" dxfId="35" priority="15">
      <formula>$T$32&gt;0</formula>
    </cfRule>
  </conditionalFormatting>
  <conditionalFormatting sqref="T33">
    <cfRule type="expression" dxfId="34" priority="14">
      <formula>$T$33&gt;0</formula>
    </cfRule>
  </conditionalFormatting>
  <conditionalFormatting sqref="T34">
    <cfRule type="expression" dxfId="33" priority="13">
      <formula>$T$34&gt;0</formula>
    </cfRule>
  </conditionalFormatting>
  <conditionalFormatting sqref="T35">
    <cfRule type="expression" dxfId="32" priority="12">
      <formula>$T$35&gt;0</formula>
    </cfRule>
  </conditionalFormatting>
  <conditionalFormatting sqref="T36">
    <cfRule type="expression" dxfId="31" priority="11">
      <formula>$T$36&gt;0</formula>
    </cfRule>
  </conditionalFormatting>
  <conditionalFormatting sqref="T37">
    <cfRule type="expression" dxfId="30" priority="10">
      <formula>$T$37&gt;0</formula>
    </cfRule>
  </conditionalFormatting>
  <conditionalFormatting sqref="T38">
    <cfRule type="expression" dxfId="29" priority="9">
      <formula>$T$38&gt;0</formula>
    </cfRule>
  </conditionalFormatting>
  <conditionalFormatting sqref="T39">
    <cfRule type="expression" dxfId="28" priority="8">
      <formula>$T$39&gt;0</formula>
    </cfRule>
  </conditionalFormatting>
  <conditionalFormatting sqref="R8">
    <cfRule type="expression" dxfId="27" priority="5">
      <formula>$R$7=0</formula>
    </cfRule>
    <cfRule type="expression" dxfId="26" priority="6">
      <formula>$R$7=0</formula>
    </cfRule>
  </conditionalFormatting>
  <conditionalFormatting sqref="R7">
    <cfRule type="expression" dxfId="25" priority="2">
      <formula>$R$7=0</formula>
    </cfRule>
  </conditionalFormatting>
  <conditionalFormatting sqref="R39">
    <cfRule type="expression" dxfId="24" priority="1">
      <formula>$R$7=0</formula>
    </cfRule>
  </conditionalFormatting>
  <dataValidations count="2">
    <dataValidation type="whole" operator="lessThanOrEqual" showErrorMessage="1" errorTitle="Fejl" error="Forkert pointantal!" promptTitle="Fejl" prompt="Forkert pointangivelse!" sqref="C9:C38">
      <formula1>C$7</formula1>
    </dataValidation>
    <dataValidation type="whole" operator="lessThanOrEqual" allowBlank="1" showInputMessage="1" showErrorMessage="1" sqref="D9:S38">
      <formula1>D$7</formula1>
    </dataValidation>
  </dataValidations>
  <pageMargins left="0.23622047244094491" right="0.23622047244094491" top="0.55118110236220474" bottom="0.55118110236220474" header="0.31496062992125984" footer="0.31496062992125984"/>
  <pageSetup paperSize="9" scale="8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Liste!$B$1:$B$19</xm:f>
          </x14:formula1>
          <xm:sqref>C5:F5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topLeftCell="A4" workbookViewId="0">
      <selection activeCell="W14" sqref="W14"/>
    </sheetView>
  </sheetViews>
  <sheetFormatPr defaultRowHeight="15" x14ac:dyDescent="0.25"/>
  <cols>
    <col min="1" max="1" width="10.140625" customWidth="1"/>
    <col min="2" max="2" width="23.140625" customWidth="1"/>
    <col min="3" max="19" width="7.7109375" customWidth="1"/>
    <col min="20" max="20" width="1.5703125" customWidth="1"/>
    <col min="21" max="21" width="12.7109375" bestFit="1" customWidth="1"/>
  </cols>
  <sheetData>
    <row r="1" spans="1:22" ht="31.5" x14ac:dyDescent="0.25">
      <c r="A1" s="93" t="s">
        <v>143</v>
      </c>
      <c r="B1" s="93"/>
      <c r="C1" s="93"/>
      <c r="D1" s="93"/>
      <c r="E1" s="93"/>
      <c r="F1" s="93"/>
      <c r="G1" s="93"/>
      <c r="H1" s="93"/>
      <c r="I1" s="93"/>
      <c r="J1" s="93"/>
      <c r="K1" s="93"/>
      <c r="L1" s="93"/>
      <c r="M1" s="198" t="s">
        <v>144</v>
      </c>
      <c r="N1" s="198"/>
      <c r="O1" s="198"/>
      <c r="P1" s="198"/>
      <c r="Q1" s="198"/>
      <c r="R1" s="198"/>
      <c r="S1" s="198"/>
      <c r="T1" s="198"/>
      <c r="U1" s="198"/>
      <c r="V1" s="94"/>
    </row>
    <row r="2" spans="1:22" x14ac:dyDescent="0.25">
      <c r="A2" s="95" t="s">
        <v>115</v>
      </c>
      <c r="B2" s="94"/>
      <c r="C2" s="94"/>
      <c r="D2" s="94"/>
      <c r="E2" s="94"/>
      <c r="F2" s="94"/>
      <c r="G2" s="94"/>
      <c r="H2" s="94"/>
      <c r="I2" s="94"/>
      <c r="J2" s="94"/>
      <c r="K2" s="94"/>
      <c r="L2" s="94"/>
      <c r="M2" s="94"/>
      <c r="N2" s="94"/>
      <c r="O2" s="94"/>
      <c r="P2" s="94"/>
      <c r="Q2" s="94"/>
      <c r="R2" s="94"/>
      <c r="S2" s="94"/>
      <c r="T2" s="94"/>
      <c r="U2" s="94"/>
      <c r="V2" s="94"/>
    </row>
    <row r="3" spans="1:22" x14ac:dyDescent="0.25">
      <c r="A3" s="96" t="s">
        <v>116</v>
      </c>
      <c r="B3" s="191">
        <f>Elevark!B3</f>
        <v>0</v>
      </c>
      <c r="C3" s="192"/>
      <c r="D3" s="193"/>
      <c r="E3" s="97"/>
      <c r="F3" s="96" t="s">
        <v>117</v>
      </c>
      <c r="G3" s="98">
        <f>Elevark!G3</f>
        <v>0</v>
      </c>
      <c r="H3" s="94"/>
      <c r="I3" s="194" t="s">
        <v>138</v>
      </c>
      <c r="J3" s="195"/>
      <c r="K3" s="99">
        <f>Elevark!K3</f>
        <v>0</v>
      </c>
      <c r="L3" s="94"/>
      <c r="M3" s="94"/>
      <c r="N3" s="94"/>
      <c r="O3" s="94"/>
      <c r="P3" s="94"/>
      <c r="Q3" s="94"/>
      <c r="R3" s="94"/>
      <c r="S3" s="96" t="s">
        <v>119</v>
      </c>
      <c r="T3" s="196">
        <f>Elevark!T3</f>
        <v>0</v>
      </c>
      <c r="U3" s="197"/>
      <c r="V3" s="94"/>
    </row>
    <row r="4" spans="1:22" x14ac:dyDescent="0.25">
      <c r="A4" s="94"/>
      <c r="B4" s="96"/>
      <c r="C4" s="100"/>
      <c r="D4" s="100"/>
      <c r="E4" s="100"/>
      <c r="F4" s="100"/>
      <c r="G4" s="96"/>
      <c r="H4" s="101"/>
      <c r="I4" s="94"/>
      <c r="J4" s="96"/>
      <c r="K4" s="102"/>
      <c r="L4" s="94"/>
      <c r="M4" s="94"/>
      <c r="N4" s="94"/>
      <c r="O4" s="94"/>
      <c r="P4" s="94"/>
      <c r="Q4" s="94"/>
      <c r="R4" s="94"/>
      <c r="S4" s="94"/>
      <c r="T4" s="94"/>
      <c r="U4" s="94"/>
      <c r="V4" s="94"/>
    </row>
    <row r="5" spans="1:22" x14ac:dyDescent="0.25">
      <c r="A5" s="94"/>
      <c r="B5" s="96" t="s">
        <v>120</v>
      </c>
      <c r="C5" s="103" t="str">
        <f>Elevark!C5</f>
        <v>Vælg tekst her:</v>
      </c>
      <c r="D5" s="104"/>
      <c r="E5" s="104"/>
      <c r="F5" s="105"/>
      <c r="G5" s="94"/>
      <c r="H5" s="96" t="s">
        <v>129</v>
      </c>
      <c r="I5" s="102"/>
      <c r="J5" s="94"/>
      <c r="K5" s="106">
        <f>VLOOKUP($C$5,Liste!B1:C19,2,FALSE)</f>
        <v>0</v>
      </c>
      <c r="L5" s="94"/>
      <c r="M5" s="94"/>
      <c r="N5" s="94"/>
      <c r="O5" s="94"/>
      <c r="P5" s="94"/>
      <c r="Q5" s="94"/>
      <c r="R5" s="94"/>
      <c r="S5" s="94"/>
      <c r="T5" s="94"/>
      <c r="U5" s="94"/>
      <c r="V5" s="94"/>
    </row>
    <row r="6" spans="1:22" x14ac:dyDescent="0.25">
      <c r="A6" s="94"/>
      <c r="B6" s="96"/>
      <c r="C6" s="107"/>
      <c r="D6" s="108"/>
      <c r="E6" s="108"/>
      <c r="F6" s="108"/>
      <c r="G6" s="94"/>
      <c r="H6" s="96"/>
      <c r="I6" s="102"/>
      <c r="J6" s="94"/>
      <c r="K6" s="109"/>
      <c r="L6" s="94"/>
      <c r="M6" s="94"/>
      <c r="N6" s="94"/>
      <c r="O6" s="94"/>
      <c r="P6" s="94"/>
      <c r="Q6" s="94"/>
      <c r="R6" s="94"/>
      <c r="S6" s="94"/>
      <c r="T6" s="94"/>
      <c r="U6" s="94"/>
      <c r="V6" s="94"/>
    </row>
    <row r="7" spans="1:22" ht="25.5" customHeight="1" x14ac:dyDescent="0.25">
      <c r="A7" s="110"/>
      <c r="B7" s="111"/>
      <c r="C7" s="112" t="s">
        <v>40</v>
      </c>
      <c r="D7" s="112" t="s">
        <v>42</v>
      </c>
      <c r="E7" s="112" t="s">
        <v>43</v>
      </c>
      <c r="F7" s="112" t="s">
        <v>44</v>
      </c>
      <c r="G7" s="112" t="s">
        <v>45</v>
      </c>
      <c r="H7" s="112" t="s">
        <v>46</v>
      </c>
      <c r="I7" s="112" t="s">
        <v>49</v>
      </c>
      <c r="J7" s="112" t="s">
        <v>52</v>
      </c>
      <c r="K7" s="112" t="s">
        <v>53</v>
      </c>
      <c r="L7" s="112" t="s">
        <v>54</v>
      </c>
      <c r="M7" s="112" t="s">
        <v>55</v>
      </c>
      <c r="N7" s="112" t="s">
        <v>66</v>
      </c>
      <c r="O7" s="112" t="s">
        <v>67</v>
      </c>
      <c r="P7" s="112" t="s">
        <v>68</v>
      </c>
      <c r="Q7" s="112" t="s">
        <v>69</v>
      </c>
      <c r="R7" s="112" t="s">
        <v>79</v>
      </c>
      <c r="S7" s="113" t="s">
        <v>173</v>
      </c>
      <c r="T7" s="114"/>
      <c r="U7" s="115" t="s">
        <v>156</v>
      </c>
      <c r="V7" s="94"/>
    </row>
    <row r="8" spans="1:22" ht="27" customHeight="1" x14ac:dyDescent="0.25">
      <c r="A8" s="116"/>
      <c r="B8" s="117" t="s">
        <v>153</v>
      </c>
      <c r="C8" s="118" t="e">
        <f>VLOOKUP(C5,Liste!B22:T40,3,FALSE)</f>
        <v>#N/A</v>
      </c>
      <c r="D8" s="118" t="e">
        <f>VLOOKUP(C5,Liste!$B$22:$T$40,4,FALSE)</f>
        <v>#N/A</v>
      </c>
      <c r="E8" s="118" t="e">
        <f>VLOOKUP(C5,Liste!$B$22:$T$40,5,FALSE)</f>
        <v>#N/A</v>
      </c>
      <c r="F8" s="118" t="e">
        <f>VLOOKUP(C5,Liste!$B$22:$T$40,6,FALSE)</f>
        <v>#N/A</v>
      </c>
      <c r="G8" s="118" t="e">
        <f>VLOOKUP(C5,Liste!$B$22:$T$40,7,FALSE)</f>
        <v>#N/A</v>
      </c>
      <c r="H8" s="118" t="e">
        <f>VLOOKUP(C5,Liste!$B$22:$T$40,8,FALSE)</f>
        <v>#N/A</v>
      </c>
      <c r="I8" s="118" t="e">
        <f>VLOOKUP(C5,Liste!$B$22:$T$40,9,FALSE)</f>
        <v>#N/A</v>
      </c>
      <c r="J8" s="118" t="e">
        <f>VLOOKUP(C5,Liste!$B$22:$T$40,10,FALSE)</f>
        <v>#N/A</v>
      </c>
      <c r="K8" s="118" t="e">
        <f>VLOOKUP(C5,Liste!$B$22:$T$40,11,FALSE)</f>
        <v>#N/A</v>
      </c>
      <c r="L8" s="118" t="e">
        <f>VLOOKUP(C5,Liste!$B$22:$T$40,12,FALSE)</f>
        <v>#N/A</v>
      </c>
      <c r="M8" s="118" t="e">
        <f>VLOOKUP(C5,Liste!$B$22:$T$40,13,FALSE)</f>
        <v>#N/A</v>
      </c>
      <c r="N8" s="118" t="e">
        <f>VLOOKUP(C5,Liste!$B$22:$T$40,14,FALSE)</f>
        <v>#N/A</v>
      </c>
      <c r="O8" s="118" t="e">
        <f>VLOOKUP(C5,Liste!$B$22:$T$40,15,FALSE)</f>
        <v>#N/A</v>
      </c>
      <c r="P8" s="118" t="e">
        <f>VLOOKUP(C5,Liste!$B$22:$T$40,16,FALSE)</f>
        <v>#N/A</v>
      </c>
      <c r="Q8" s="118" t="e">
        <f>VLOOKUP(C5,Liste!$B$22:$T$40,17,FALSE)</f>
        <v>#N/A</v>
      </c>
      <c r="R8" s="118" t="e">
        <f>VLOOKUP(C5,Liste!$B$22:$T$40,18,FALSE)</f>
        <v>#N/A</v>
      </c>
      <c r="S8" s="118" t="e">
        <f>VLOOKUP(C5,Liste!$B$22:$T$40,19,FALSE)</f>
        <v>#N/A</v>
      </c>
      <c r="T8" s="119" t="e">
        <f>SUM(C8:S8)</f>
        <v>#N/A</v>
      </c>
      <c r="U8" s="172" t="s">
        <v>230</v>
      </c>
      <c r="V8" s="94"/>
    </row>
    <row r="9" spans="1:22" ht="22.5" customHeight="1" x14ac:dyDescent="0.25">
      <c r="A9" s="120">
        <f>G3</f>
        <v>0</v>
      </c>
      <c r="B9" s="121" t="s">
        <v>213</v>
      </c>
      <c r="C9" s="122" t="e">
        <f>Elevark!C40*100</f>
        <v>#N/A</v>
      </c>
      <c r="D9" s="122" t="e">
        <f>Elevark!D40*100</f>
        <v>#N/A</v>
      </c>
      <c r="E9" s="122" t="e">
        <f>Elevark!E40*100</f>
        <v>#N/A</v>
      </c>
      <c r="F9" s="122" t="e">
        <f>Elevark!F40*100</f>
        <v>#N/A</v>
      </c>
      <c r="G9" s="122" t="e">
        <f>Elevark!G40*100</f>
        <v>#N/A</v>
      </c>
      <c r="H9" s="122" t="e">
        <f>Elevark!H40*100</f>
        <v>#N/A</v>
      </c>
      <c r="I9" s="122" t="e">
        <f>Elevark!I40*100</f>
        <v>#N/A</v>
      </c>
      <c r="J9" s="122" t="e">
        <f>Elevark!J40*100</f>
        <v>#N/A</v>
      </c>
      <c r="K9" s="122" t="e">
        <f>Elevark!K40*100</f>
        <v>#N/A</v>
      </c>
      <c r="L9" s="122" t="e">
        <f>Elevark!L40*100</f>
        <v>#N/A</v>
      </c>
      <c r="M9" s="122" t="e">
        <f>Elevark!M40*100</f>
        <v>#N/A</v>
      </c>
      <c r="N9" s="122" t="e">
        <f>Elevark!N40*100</f>
        <v>#N/A</v>
      </c>
      <c r="O9" s="122" t="e">
        <f>Elevark!O40*100</f>
        <v>#N/A</v>
      </c>
      <c r="P9" s="122" t="e">
        <f>Elevark!P40*100</f>
        <v>#N/A</v>
      </c>
      <c r="Q9" s="122" t="e">
        <f>Elevark!Q40*100</f>
        <v>#N/A</v>
      </c>
      <c r="R9" s="122" t="e">
        <f>Elevark!R40*100</f>
        <v>#N/A</v>
      </c>
      <c r="S9" s="122" t="e">
        <f>Elevark!S40*100</f>
        <v>#N/A</v>
      </c>
      <c r="T9" s="123"/>
      <c r="U9" s="124" t="e">
        <f>Elevark!U40*100</f>
        <v>#DIV/0!</v>
      </c>
      <c r="V9" s="94"/>
    </row>
    <row r="10" spans="1:22" ht="18.75" customHeight="1" x14ac:dyDescent="0.25">
      <c r="A10" s="125" t="s">
        <v>155</v>
      </c>
      <c r="B10" s="126" t="e">
        <f>VLOOKUP(C5,Liste!B44:Z61,25,FALSE)</f>
        <v>#N/A</v>
      </c>
      <c r="C10" s="127" t="e">
        <f>VLOOKUP(C5,Liste!$B$44:$Z$61,3,FALSE)</f>
        <v>#N/A</v>
      </c>
      <c r="D10" s="128" t="e">
        <f>VLOOKUP(C5,Liste!$B$44:$Z$61,4,FALSE)</f>
        <v>#N/A</v>
      </c>
      <c r="E10" s="128" t="e">
        <f>VLOOKUP(C5,Liste!$B$44:$Z$61,5,FALSE)</f>
        <v>#N/A</v>
      </c>
      <c r="F10" s="128" t="e">
        <f>VLOOKUP(C5,Liste!$B$44:$Z$61,6,FALSE)</f>
        <v>#N/A</v>
      </c>
      <c r="G10" s="128" t="e">
        <f>VLOOKUP(C5,Liste!$B$44:$Z$61,7,FALSE)</f>
        <v>#N/A</v>
      </c>
      <c r="H10" s="128" t="e">
        <f>VLOOKUP(C5,Liste!$B$44:$Z$61,8,FALSE)</f>
        <v>#N/A</v>
      </c>
      <c r="I10" s="128" t="e">
        <f>VLOOKUP(C5,Liste!$B$44:$Z$61,9,FALSE)</f>
        <v>#N/A</v>
      </c>
      <c r="J10" s="128" t="e">
        <f>VLOOKUP(C5,Liste!$B$44:$Z$61,10,FALSE)</f>
        <v>#N/A</v>
      </c>
      <c r="K10" s="128" t="e">
        <f>VLOOKUP(C5,Liste!$B$44:$Z$61,11,FALSE)</f>
        <v>#N/A</v>
      </c>
      <c r="L10" s="128" t="e">
        <f>VLOOKUP(C5,Liste!$B$44:$Z$61,12,FALSE)</f>
        <v>#N/A</v>
      </c>
      <c r="M10" s="128" t="e">
        <f>VLOOKUP(C5,Liste!$B$44:$Z$61,13,FALSE)</f>
        <v>#N/A</v>
      </c>
      <c r="N10" s="128" t="e">
        <f>VLOOKUP(C5,Liste!$B$44:$Z$61,14,FALSE)</f>
        <v>#N/A</v>
      </c>
      <c r="O10" s="128" t="e">
        <f>VLOOKUP(C5,Liste!$B$44:$Z$61,15,FALSE)</f>
        <v>#N/A</v>
      </c>
      <c r="P10" s="128" t="e">
        <f>VLOOKUP(C5,Liste!$B$44:$Z$61,16,FALSE)</f>
        <v>#N/A</v>
      </c>
      <c r="Q10" s="128" t="e">
        <f>VLOOKUP(C5,Liste!$B$44:$Z$61,17,FALSE)</f>
        <v>#N/A</v>
      </c>
      <c r="R10" s="128" t="e">
        <f>VLOOKUP(C5,Liste!$B$44:$Z$61,18,FALSE)</f>
        <v>#N/A</v>
      </c>
      <c r="S10" s="128" t="e">
        <f>VLOOKUP(C5,Liste!$B$44:$Z$61,19,FALSE)</f>
        <v>#N/A</v>
      </c>
      <c r="T10" s="126"/>
      <c r="U10" s="129" t="e">
        <f>VLOOKUP(C5,Liste!$B$44:$AA$61,26,FALSE)</f>
        <v>#N/A</v>
      </c>
      <c r="V10" s="94"/>
    </row>
    <row r="11" spans="1:22" x14ac:dyDescent="0.25">
      <c r="A11" s="94"/>
      <c r="B11" s="94"/>
      <c r="C11" s="94"/>
      <c r="D11" s="94"/>
      <c r="E11" s="94"/>
      <c r="F11" s="94"/>
      <c r="G11" s="94"/>
      <c r="H11" s="94"/>
      <c r="I11" s="94"/>
      <c r="J11" s="94"/>
      <c r="K11" s="94"/>
      <c r="L11" s="94"/>
      <c r="M11" s="94"/>
      <c r="N11" s="94"/>
      <c r="O11" s="94"/>
      <c r="P11" s="94"/>
      <c r="Q11" s="94"/>
      <c r="R11" s="94"/>
      <c r="S11" s="94"/>
      <c r="T11" s="94"/>
      <c r="U11" s="94"/>
      <c r="V11" s="94"/>
    </row>
    <row r="12" spans="1:22" x14ac:dyDescent="0.25">
      <c r="A12" s="94"/>
      <c r="B12" s="185" t="s">
        <v>157</v>
      </c>
      <c r="C12" s="186"/>
      <c r="D12" s="186"/>
      <c r="E12" s="186"/>
      <c r="F12" s="186"/>
      <c r="G12" s="186"/>
      <c r="H12" s="186"/>
      <c r="I12" s="186"/>
      <c r="J12" s="186"/>
      <c r="K12" s="186"/>
      <c r="L12" s="186"/>
      <c r="M12" s="186"/>
      <c r="N12" s="186"/>
      <c r="O12" s="186"/>
      <c r="P12" s="186"/>
      <c r="Q12" s="186"/>
      <c r="R12" s="186"/>
      <c r="S12" s="186"/>
      <c r="T12" s="186"/>
      <c r="U12" s="187"/>
      <c r="V12" s="94"/>
    </row>
    <row r="13" spans="1:22" x14ac:dyDescent="0.25">
      <c r="A13" s="94"/>
      <c r="B13" s="188"/>
      <c r="C13" s="189"/>
      <c r="D13" s="189"/>
      <c r="E13" s="189"/>
      <c r="F13" s="189"/>
      <c r="G13" s="189"/>
      <c r="H13" s="189"/>
      <c r="I13" s="189"/>
      <c r="J13" s="189"/>
      <c r="K13" s="189"/>
      <c r="L13" s="189"/>
      <c r="M13" s="189"/>
      <c r="N13" s="189"/>
      <c r="O13" s="189"/>
      <c r="P13" s="189"/>
      <c r="Q13" s="189"/>
      <c r="R13" s="189"/>
      <c r="S13" s="189"/>
      <c r="T13" s="189"/>
      <c r="U13" s="190"/>
      <c r="V13" s="94"/>
    </row>
    <row r="14" spans="1:22" x14ac:dyDescent="0.25">
      <c r="A14" s="94"/>
      <c r="B14" s="94"/>
      <c r="C14" s="94"/>
      <c r="D14" s="94"/>
      <c r="E14" s="94"/>
      <c r="F14" s="94"/>
      <c r="G14" s="94"/>
      <c r="H14" s="94"/>
      <c r="I14" s="94"/>
      <c r="J14" s="94"/>
      <c r="K14" s="94"/>
      <c r="L14" s="94"/>
      <c r="M14" s="94"/>
      <c r="N14" s="94"/>
      <c r="O14" s="94"/>
      <c r="P14" s="94"/>
      <c r="Q14" s="94"/>
      <c r="R14" s="94"/>
      <c r="S14" s="94"/>
      <c r="T14" s="94"/>
      <c r="U14" s="94"/>
      <c r="V14" s="94"/>
    </row>
    <row r="15" spans="1:22" x14ac:dyDescent="0.25">
      <c r="A15" s="94"/>
      <c r="B15" s="94"/>
      <c r="C15" s="94"/>
      <c r="D15" s="94"/>
      <c r="E15" s="94"/>
      <c r="F15" s="94"/>
      <c r="G15" s="94"/>
      <c r="H15" s="94"/>
      <c r="I15" s="94"/>
      <c r="J15" s="94"/>
      <c r="K15" s="94"/>
      <c r="L15" s="94"/>
      <c r="M15" s="94"/>
      <c r="N15" s="94"/>
      <c r="O15" s="94"/>
      <c r="P15" s="94"/>
      <c r="Q15" s="94"/>
      <c r="R15" s="94"/>
      <c r="S15" s="94"/>
      <c r="T15" s="94"/>
      <c r="U15" s="94"/>
      <c r="V15" s="94"/>
    </row>
    <row r="16" spans="1:22" x14ac:dyDescent="0.25">
      <c r="A16" s="94"/>
      <c r="B16" s="94"/>
      <c r="C16" s="94"/>
      <c r="D16" s="94"/>
      <c r="E16" s="94"/>
      <c r="F16" s="94"/>
      <c r="G16" s="94"/>
      <c r="H16" s="94"/>
      <c r="I16" s="94"/>
      <c r="J16" s="94"/>
      <c r="K16" s="94"/>
      <c r="L16" s="94"/>
      <c r="M16" s="94"/>
      <c r="N16" s="94"/>
      <c r="O16" s="94"/>
      <c r="P16" s="94"/>
      <c r="Q16" s="94"/>
      <c r="R16" s="94"/>
      <c r="S16" s="94"/>
      <c r="T16" s="94"/>
      <c r="U16" s="94"/>
      <c r="V16" s="94"/>
    </row>
    <row r="17" spans="1:22" x14ac:dyDescent="0.25">
      <c r="A17" s="94"/>
      <c r="B17" s="94"/>
      <c r="C17" s="94"/>
      <c r="D17" s="94"/>
      <c r="E17" s="94"/>
      <c r="F17" s="94"/>
      <c r="G17" s="94"/>
      <c r="H17" s="94"/>
      <c r="I17" s="94"/>
      <c r="J17" s="94"/>
      <c r="K17" s="94"/>
      <c r="L17" s="94"/>
      <c r="M17" s="94"/>
      <c r="N17" s="94"/>
      <c r="O17" s="94"/>
      <c r="P17" s="94"/>
      <c r="Q17" s="94"/>
      <c r="R17" s="94"/>
      <c r="S17" s="94"/>
      <c r="T17" s="94"/>
      <c r="U17" s="94"/>
      <c r="V17" s="94"/>
    </row>
    <row r="18" spans="1:22" x14ac:dyDescent="0.25">
      <c r="A18" s="94"/>
      <c r="B18" s="94"/>
      <c r="C18" s="94"/>
      <c r="D18" s="94"/>
      <c r="E18" s="94"/>
      <c r="F18" s="94"/>
      <c r="G18" s="94"/>
      <c r="H18" s="94"/>
      <c r="I18" s="94"/>
      <c r="J18" s="94"/>
      <c r="K18" s="94"/>
      <c r="L18" s="94"/>
      <c r="M18" s="94"/>
      <c r="N18" s="94"/>
      <c r="O18" s="94"/>
      <c r="P18" s="94"/>
      <c r="Q18" s="94"/>
      <c r="R18" s="94"/>
      <c r="S18" s="94"/>
      <c r="T18" s="94"/>
      <c r="U18" s="94"/>
      <c r="V18" s="94"/>
    </row>
    <row r="19" spans="1:22" x14ac:dyDescent="0.25">
      <c r="A19" s="94"/>
      <c r="B19" s="94"/>
      <c r="C19" s="94"/>
      <c r="D19" s="94"/>
      <c r="E19" s="94"/>
      <c r="F19" s="94"/>
      <c r="G19" s="94"/>
      <c r="H19" s="94"/>
      <c r="I19" s="94"/>
      <c r="J19" s="94"/>
      <c r="K19" s="94"/>
      <c r="L19" s="94"/>
      <c r="M19" s="94"/>
      <c r="N19" s="94"/>
      <c r="O19" s="94"/>
      <c r="P19" s="94"/>
      <c r="Q19" s="94"/>
      <c r="R19" s="94"/>
      <c r="S19" s="94"/>
      <c r="T19" s="94"/>
      <c r="U19" s="94"/>
      <c r="V19" s="94"/>
    </row>
    <row r="20" spans="1:22" x14ac:dyDescent="0.25">
      <c r="A20" s="94"/>
      <c r="B20" s="94"/>
      <c r="C20" s="94"/>
      <c r="D20" s="94"/>
      <c r="E20" s="94"/>
      <c r="F20" s="94"/>
      <c r="G20" s="94"/>
      <c r="H20" s="94"/>
      <c r="I20" s="94"/>
      <c r="J20" s="94"/>
      <c r="K20" s="94"/>
      <c r="L20" s="94"/>
      <c r="M20" s="94"/>
      <c r="N20" s="94"/>
      <c r="O20" s="94"/>
      <c r="P20" s="94"/>
      <c r="Q20" s="94"/>
      <c r="R20" s="94"/>
      <c r="S20" s="94"/>
      <c r="T20" s="94"/>
      <c r="U20" s="94"/>
      <c r="V20" s="94"/>
    </row>
    <row r="21" spans="1:22" x14ac:dyDescent="0.25">
      <c r="A21" s="94"/>
      <c r="B21" s="94"/>
      <c r="C21" s="94"/>
      <c r="D21" s="94"/>
      <c r="E21" s="94"/>
      <c r="F21" s="94"/>
      <c r="G21" s="94"/>
      <c r="H21" s="94"/>
      <c r="I21" s="94"/>
      <c r="J21" s="94"/>
      <c r="K21" s="94"/>
      <c r="L21" s="94"/>
      <c r="M21" s="94"/>
      <c r="N21" s="94"/>
      <c r="O21" s="94"/>
      <c r="P21" s="94"/>
      <c r="Q21" s="94"/>
      <c r="R21" s="94"/>
      <c r="S21" s="94"/>
      <c r="T21" s="94"/>
      <c r="U21" s="94"/>
      <c r="V21" s="94"/>
    </row>
    <row r="22" spans="1:22" x14ac:dyDescent="0.25">
      <c r="A22" s="94"/>
      <c r="B22" s="94"/>
      <c r="C22" s="94"/>
      <c r="D22" s="94"/>
      <c r="E22" s="94"/>
      <c r="F22" s="94"/>
      <c r="G22" s="94"/>
      <c r="H22" s="94"/>
      <c r="I22" s="94"/>
      <c r="J22" s="94"/>
      <c r="K22" s="94"/>
      <c r="L22" s="94"/>
      <c r="M22" s="94"/>
      <c r="N22" s="94"/>
      <c r="O22" s="94"/>
      <c r="P22" s="94"/>
      <c r="Q22" s="94"/>
      <c r="R22" s="94"/>
      <c r="S22" s="94"/>
      <c r="T22" s="94"/>
      <c r="U22" s="94"/>
      <c r="V22" s="94"/>
    </row>
    <row r="23" spans="1:22" x14ac:dyDescent="0.25">
      <c r="A23" s="94"/>
      <c r="B23" s="94"/>
      <c r="C23" s="94"/>
      <c r="D23" s="94"/>
      <c r="E23" s="94"/>
      <c r="F23" s="94"/>
      <c r="G23" s="94"/>
      <c r="H23" s="94"/>
      <c r="I23" s="94"/>
      <c r="J23" s="94"/>
      <c r="K23" s="94"/>
      <c r="L23" s="94"/>
      <c r="M23" s="94"/>
      <c r="N23" s="94"/>
      <c r="O23" s="94"/>
      <c r="P23" s="94"/>
      <c r="Q23" s="94"/>
      <c r="R23" s="94"/>
      <c r="S23" s="94"/>
      <c r="T23" s="94"/>
      <c r="U23" s="94"/>
      <c r="V23" s="94"/>
    </row>
    <row r="24" spans="1:22" x14ac:dyDescent="0.25">
      <c r="A24" s="94"/>
      <c r="B24" s="94"/>
      <c r="C24" s="94"/>
      <c r="D24" s="94"/>
      <c r="E24" s="94"/>
      <c r="F24" s="94"/>
      <c r="G24" s="94"/>
      <c r="H24" s="94"/>
      <c r="I24" s="94"/>
      <c r="J24" s="94"/>
      <c r="K24" s="94"/>
      <c r="L24" s="94"/>
      <c r="M24" s="94"/>
      <c r="N24" s="94"/>
      <c r="O24" s="94"/>
      <c r="P24" s="94"/>
      <c r="Q24" s="94"/>
      <c r="R24" s="94"/>
      <c r="S24" s="94"/>
      <c r="T24" s="94"/>
      <c r="U24" s="94"/>
      <c r="V24" s="94"/>
    </row>
    <row r="25" spans="1:22" x14ac:dyDescent="0.25">
      <c r="A25" s="94"/>
      <c r="B25" s="94"/>
      <c r="C25" s="94"/>
      <c r="D25" s="94"/>
      <c r="E25" s="94"/>
      <c r="F25" s="94"/>
      <c r="G25" s="94"/>
      <c r="H25" s="94"/>
      <c r="I25" s="94"/>
      <c r="J25" s="94"/>
      <c r="K25" s="94"/>
      <c r="L25" s="94"/>
      <c r="M25" s="94"/>
      <c r="N25" s="94"/>
      <c r="O25" s="94"/>
      <c r="P25" s="94"/>
      <c r="Q25" s="94"/>
      <c r="R25" s="94"/>
      <c r="S25" s="94"/>
      <c r="T25" s="94"/>
      <c r="U25" s="94"/>
      <c r="V25" s="94"/>
    </row>
    <row r="26" spans="1:22" x14ac:dyDescent="0.25">
      <c r="A26" s="94"/>
      <c r="B26" s="94"/>
      <c r="C26" s="94"/>
      <c r="D26" s="94"/>
      <c r="E26" s="94"/>
      <c r="F26" s="94"/>
      <c r="G26" s="94"/>
      <c r="H26" s="94"/>
      <c r="I26" s="94"/>
      <c r="J26" s="94"/>
      <c r="K26" s="94"/>
      <c r="L26" s="94"/>
      <c r="M26" s="94"/>
      <c r="N26" s="94"/>
      <c r="O26" s="94"/>
      <c r="P26" s="94"/>
      <c r="Q26" s="94"/>
      <c r="R26" s="94"/>
      <c r="S26" s="94"/>
      <c r="T26" s="94"/>
      <c r="U26" s="94"/>
      <c r="V26" s="94"/>
    </row>
    <row r="27" spans="1:22" x14ac:dyDescent="0.25">
      <c r="A27" s="94"/>
      <c r="B27" s="94"/>
      <c r="C27" s="94"/>
      <c r="D27" s="94"/>
      <c r="E27" s="94"/>
      <c r="F27" s="94"/>
      <c r="G27" s="94"/>
      <c r="H27" s="94"/>
      <c r="I27" s="94"/>
      <c r="J27" s="94"/>
      <c r="K27" s="94"/>
      <c r="L27" s="94"/>
      <c r="M27" s="94"/>
      <c r="N27" s="94"/>
      <c r="O27" s="94"/>
      <c r="P27" s="94"/>
      <c r="Q27" s="94"/>
      <c r="R27" s="94"/>
      <c r="S27" s="94"/>
      <c r="T27" s="94"/>
      <c r="U27" s="94"/>
      <c r="V27" s="94"/>
    </row>
    <row r="28" spans="1:22" x14ac:dyDescent="0.25">
      <c r="A28" s="94"/>
      <c r="B28" s="94"/>
      <c r="C28" s="94"/>
      <c r="D28" s="94"/>
      <c r="E28" s="94"/>
      <c r="F28" s="94"/>
      <c r="G28" s="94"/>
      <c r="H28" s="94"/>
      <c r="I28" s="94"/>
      <c r="J28" s="94"/>
      <c r="K28" s="94"/>
      <c r="L28" s="94"/>
      <c r="M28" s="94"/>
      <c r="N28" s="94"/>
      <c r="O28" s="94"/>
      <c r="P28" s="94"/>
      <c r="Q28" s="94"/>
      <c r="R28" s="94"/>
      <c r="S28" s="94"/>
      <c r="T28" s="94"/>
      <c r="U28" s="94"/>
      <c r="V28" s="94"/>
    </row>
    <row r="29" spans="1:22" x14ac:dyDescent="0.25">
      <c r="A29" s="94"/>
      <c r="B29" s="94"/>
      <c r="C29" s="94"/>
      <c r="D29" s="94"/>
      <c r="E29" s="94"/>
      <c r="F29" s="94"/>
      <c r="G29" s="94"/>
      <c r="H29" s="94"/>
      <c r="I29" s="94"/>
      <c r="J29" s="94"/>
      <c r="K29" s="94"/>
      <c r="L29" s="94"/>
      <c r="M29" s="94"/>
      <c r="N29" s="94"/>
      <c r="O29" s="94"/>
      <c r="P29" s="94"/>
      <c r="Q29" s="94"/>
      <c r="R29" s="94"/>
      <c r="S29" s="94"/>
      <c r="T29" s="94"/>
      <c r="U29" s="94"/>
      <c r="V29" s="94"/>
    </row>
    <row r="30" spans="1:22" x14ac:dyDescent="0.25">
      <c r="A30" s="94"/>
      <c r="B30" s="94"/>
      <c r="C30" s="94"/>
      <c r="D30" s="94"/>
      <c r="E30" s="94"/>
      <c r="F30" s="94"/>
      <c r="G30" s="94"/>
      <c r="H30" s="94"/>
      <c r="I30" s="94"/>
      <c r="J30" s="94"/>
      <c r="K30" s="94"/>
      <c r="L30" s="94"/>
      <c r="M30" s="94"/>
      <c r="N30" s="94"/>
      <c r="O30" s="94"/>
      <c r="P30" s="94"/>
      <c r="Q30" s="94"/>
      <c r="R30" s="94"/>
      <c r="S30" s="94"/>
      <c r="T30" s="94"/>
      <c r="U30" s="94"/>
      <c r="V30" s="94"/>
    </row>
    <row r="31" spans="1:22" x14ac:dyDescent="0.25">
      <c r="A31" s="94"/>
      <c r="B31" s="94"/>
      <c r="C31" s="94"/>
      <c r="D31" s="94"/>
      <c r="E31" s="94"/>
      <c r="F31" s="94"/>
      <c r="G31" s="94"/>
      <c r="H31" s="94"/>
      <c r="I31" s="94"/>
      <c r="J31" s="94"/>
      <c r="K31" s="94"/>
      <c r="L31" s="94"/>
      <c r="M31" s="94"/>
      <c r="N31" s="94"/>
      <c r="O31" s="94"/>
      <c r="P31" s="94"/>
      <c r="Q31" s="94"/>
      <c r="R31" s="94"/>
      <c r="S31" s="94"/>
      <c r="T31" s="94"/>
      <c r="U31" s="94"/>
      <c r="V31" s="94"/>
    </row>
    <row r="32" spans="1:22" x14ac:dyDescent="0.25">
      <c r="A32" s="94"/>
      <c r="B32" s="94"/>
      <c r="C32" s="94"/>
      <c r="D32" s="94"/>
      <c r="E32" s="94"/>
      <c r="F32" s="94"/>
      <c r="G32" s="94"/>
      <c r="H32" s="94"/>
      <c r="I32" s="94"/>
      <c r="J32" s="94"/>
      <c r="K32" s="94"/>
      <c r="L32" s="94"/>
      <c r="M32" s="94"/>
      <c r="N32" s="94"/>
      <c r="O32" s="94"/>
      <c r="P32" s="94"/>
      <c r="Q32" s="94"/>
      <c r="R32" s="94"/>
      <c r="S32" s="94"/>
      <c r="T32" s="94"/>
      <c r="U32" s="94"/>
      <c r="V32" s="94"/>
    </row>
    <row r="33" spans="1:22" x14ac:dyDescent="0.25">
      <c r="A33" s="94"/>
      <c r="B33" s="94"/>
      <c r="C33" s="94"/>
      <c r="D33" s="94"/>
      <c r="E33" s="94"/>
      <c r="F33" s="94"/>
      <c r="G33" s="94"/>
      <c r="H33" s="94"/>
      <c r="I33" s="94"/>
      <c r="J33" s="94"/>
      <c r="K33" s="94"/>
      <c r="L33" s="94"/>
      <c r="M33" s="94"/>
      <c r="N33" s="94"/>
      <c r="O33" s="94"/>
      <c r="P33" s="94"/>
      <c r="Q33" s="94"/>
      <c r="R33" s="94"/>
      <c r="S33" s="94"/>
      <c r="T33" s="94"/>
      <c r="U33" s="94"/>
      <c r="V33" s="94"/>
    </row>
    <row r="34" spans="1:22" x14ac:dyDescent="0.25">
      <c r="A34" s="94"/>
      <c r="B34" s="94"/>
      <c r="C34" s="94"/>
      <c r="D34" s="94"/>
      <c r="E34" s="94"/>
      <c r="F34" s="94"/>
      <c r="G34" s="94"/>
      <c r="H34" s="94"/>
      <c r="I34" s="94"/>
      <c r="J34" s="94"/>
      <c r="K34" s="94"/>
      <c r="L34" s="94"/>
      <c r="M34" s="94"/>
      <c r="N34" s="94"/>
      <c r="O34" s="94"/>
      <c r="P34" s="94"/>
      <c r="Q34" s="94"/>
      <c r="R34" s="94"/>
      <c r="S34" s="94"/>
      <c r="T34" s="94"/>
      <c r="U34" s="94"/>
      <c r="V34" s="94"/>
    </row>
    <row r="35" spans="1:22" x14ac:dyDescent="0.25">
      <c r="A35" s="94"/>
      <c r="B35" s="94"/>
      <c r="C35" s="94"/>
      <c r="D35" s="94"/>
      <c r="E35" s="94"/>
      <c r="F35" s="94"/>
      <c r="G35" s="94"/>
      <c r="H35" s="94"/>
      <c r="I35" s="94"/>
      <c r="J35" s="94"/>
      <c r="K35" s="94"/>
      <c r="L35" s="94"/>
      <c r="M35" s="94"/>
      <c r="N35" s="94"/>
      <c r="O35" s="94"/>
      <c r="P35" s="94"/>
      <c r="Q35" s="94"/>
      <c r="R35" s="94"/>
      <c r="S35" s="94"/>
      <c r="T35" s="94"/>
      <c r="U35" s="94"/>
      <c r="V35" s="94"/>
    </row>
    <row r="36" spans="1:22" x14ac:dyDescent="0.25">
      <c r="A36" s="94"/>
      <c r="B36" s="94"/>
      <c r="C36" s="94"/>
      <c r="D36" s="94"/>
      <c r="E36" s="94"/>
      <c r="F36" s="94"/>
      <c r="G36" s="94"/>
      <c r="H36" s="94"/>
      <c r="I36" s="94"/>
      <c r="J36" s="94"/>
      <c r="K36" s="94"/>
      <c r="L36" s="94"/>
      <c r="M36" s="94"/>
      <c r="N36" s="94"/>
      <c r="O36" s="94"/>
      <c r="P36" s="94"/>
      <c r="Q36" s="94"/>
      <c r="R36" s="94"/>
      <c r="S36" s="94"/>
      <c r="T36" s="94"/>
      <c r="U36" s="94"/>
      <c r="V36" s="94"/>
    </row>
    <row r="37" spans="1:22" x14ac:dyDescent="0.25">
      <c r="A37" s="94"/>
      <c r="B37" s="94"/>
      <c r="C37" s="94"/>
      <c r="D37" s="94"/>
      <c r="E37" s="94"/>
      <c r="F37" s="94"/>
      <c r="G37" s="94"/>
      <c r="H37" s="94"/>
      <c r="I37" s="94"/>
      <c r="J37" s="94"/>
      <c r="K37" s="94"/>
      <c r="L37" s="94"/>
      <c r="M37" s="94"/>
      <c r="N37" s="94"/>
      <c r="O37" s="94"/>
      <c r="P37" s="94"/>
      <c r="Q37" s="94"/>
      <c r="R37" s="94"/>
      <c r="S37" s="94"/>
      <c r="T37" s="94"/>
      <c r="U37" s="94"/>
      <c r="V37" s="94"/>
    </row>
    <row r="38" spans="1:22" x14ac:dyDescent="0.25">
      <c r="A38" s="94"/>
      <c r="B38" s="94"/>
      <c r="C38" s="94"/>
      <c r="D38" s="94"/>
      <c r="E38" s="94"/>
      <c r="F38" s="94"/>
      <c r="G38" s="94"/>
      <c r="H38" s="94"/>
      <c r="I38" s="94"/>
      <c r="J38" s="94"/>
      <c r="K38" s="94"/>
      <c r="L38" s="94"/>
      <c r="M38" s="94"/>
      <c r="N38" s="94"/>
      <c r="O38" s="94"/>
      <c r="P38" s="94"/>
      <c r="Q38" s="94"/>
      <c r="R38" s="94"/>
      <c r="S38" s="94"/>
      <c r="T38" s="94"/>
      <c r="U38" s="94"/>
      <c r="V38" s="94"/>
    </row>
    <row r="39" spans="1:22" x14ac:dyDescent="0.25">
      <c r="A39" s="94"/>
      <c r="B39" s="94"/>
      <c r="C39" s="94"/>
      <c r="D39" s="94"/>
      <c r="E39" s="94"/>
      <c r="F39" s="94"/>
      <c r="G39" s="94"/>
      <c r="H39" s="94"/>
      <c r="I39" s="94"/>
      <c r="J39" s="94"/>
      <c r="K39" s="94"/>
      <c r="L39" s="94"/>
      <c r="M39" s="94"/>
      <c r="N39" s="94"/>
      <c r="O39" s="94"/>
      <c r="P39" s="94"/>
      <c r="Q39" s="94"/>
      <c r="R39" s="94"/>
      <c r="S39" s="94"/>
      <c r="T39" s="94"/>
      <c r="U39" s="94"/>
      <c r="V39" s="94"/>
    </row>
    <row r="40" spans="1:22" x14ac:dyDescent="0.25">
      <c r="A40" s="94"/>
      <c r="B40" s="94"/>
      <c r="C40" s="94"/>
      <c r="D40" s="94"/>
      <c r="E40" s="94"/>
      <c r="F40" s="94"/>
      <c r="G40" s="94"/>
      <c r="H40" s="94"/>
      <c r="I40" s="94"/>
      <c r="J40" s="94"/>
      <c r="K40" s="94"/>
      <c r="L40" s="94"/>
      <c r="M40" s="94"/>
      <c r="N40" s="94"/>
      <c r="O40" s="94"/>
      <c r="P40" s="94"/>
      <c r="Q40" s="94"/>
      <c r="R40" s="94"/>
      <c r="S40" s="94"/>
      <c r="T40" s="94"/>
      <c r="U40" s="94"/>
      <c r="V40" s="94"/>
    </row>
    <row r="41" spans="1:22" x14ac:dyDescent="0.25">
      <c r="A41" s="94"/>
      <c r="B41" s="94"/>
      <c r="C41" s="94"/>
      <c r="D41" s="94"/>
      <c r="E41" s="94"/>
      <c r="F41" s="94"/>
      <c r="G41" s="94"/>
      <c r="H41" s="94"/>
      <c r="I41" s="94"/>
      <c r="J41" s="94"/>
      <c r="K41" s="94"/>
      <c r="L41" s="94"/>
      <c r="M41" s="94"/>
      <c r="N41" s="94"/>
      <c r="O41" s="94"/>
      <c r="P41" s="94"/>
      <c r="Q41" s="94"/>
      <c r="R41" s="94"/>
      <c r="S41" s="94"/>
      <c r="T41" s="94"/>
      <c r="U41" s="94"/>
      <c r="V41" s="94"/>
    </row>
    <row r="42" spans="1:22" x14ac:dyDescent="0.25">
      <c r="A42" s="94"/>
      <c r="B42" s="94"/>
      <c r="C42" s="94"/>
      <c r="D42" s="94"/>
      <c r="E42" s="94"/>
      <c r="F42" s="94"/>
      <c r="G42" s="94"/>
      <c r="H42" s="94"/>
      <c r="I42" s="94"/>
      <c r="J42" s="94"/>
      <c r="K42" s="94"/>
      <c r="L42" s="94"/>
      <c r="M42" s="94"/>
      <c r="N42" s="94"/>
      <c r="O42" s="94"/>
      <c r="P42" s="94"/>
      <c r="Q42" s="94"/>
      <c r="R42" s="94"/>
      <c r="S42" s="94"/>
      <c r="T42" s="94"/>
      <c r="U42" s="94"/>
      <c r="V42" s="94"/>
    </row>
    <row r="43" spans="1:22" x14ac:dyDescent="0.25">
      <c r="A43" s="25"/>
      <c r="B43" s="25"/>
      <c r="C43" s="25"/>
      <c r="D43" s="25"/>
      <c r="E43" s="25"/>
      <c r="F43" s="25"/>
      <c r="G43" s="25"/>
      <c r="H43" s="25"/>
      <c r="I43" s="25"/>
      <c r="J43" s="25"/>
      <c r="K43" s="25"/>
      <c r="L43" s="25"/>
      <c r="M43" s="25"/>
      <c r="N43" s="25"/>
      <c r="O43" s="25"/>
      <c r="P43" s="25"/>
      <c r="Q43" s="25"/>
      <c r="R43" s="25"/>
      <c r="S43" s="25"/>
      <c r="T43" s="25"/>
      <c r="U43" s="25"/>
      <c r="V43" s="25"/>
    </row>
    <row r="44" spans="1:22" x14ac:dyDescent="0.25">
      <c r="A44" s="25"/>
      <c r="B44" s="25"/>
      <c r="C44" s="25"/>
      <c r="D44" s="25"/>
      <c r="E44" s="25"/>
      <c r="F44" s="25"/>
      <c r="G44" s="25"/>
      <c r="H44" s="25"/>
      <c r="I44" s="25"/>
      <c r="J44" s="25"/>
      <c r="K44" s="25"/>
      <c r="L44" s="25"/>
      <c r="M44" s="25"/>
      <c r="N44" s="25"/>
      <c r="O44" s="25"/>
      <c r="P44" s="25"/>
      <c r="Q44" s="25"/>
      <c r="R44" s="25"/>
      <c r="S44" s="25"/>
      <c r="T44" s="25"/>
      <c r="U44" s="25"/>
      <c r="V44" s="25"/>
    </row>
    <row r="45" spans="1:22" x14ac:dyDescent="0.25">
      <c r="A45" s="25"/>
      <c r="B45" s="25"/>
      <c r="C45" s="25"/>
      <c r="D45" s="25"/>
      <c r="E45" s="25"/>
      <c r="F45" s="25"/>
      <c r="G45" s="25"/>
      <c r="H45" s="25"/>
      <c r="I45" s="25"/>
      <c r="J45" s="25"/>
      <c r="K45" s="25"/>
      <c r="L45" s="25"/>
      <c r="M45" s="25"/>
      <c r="N45" s="25"/>
      <c r="O45" s="25"/>
      <c r="P45" s="25"/>
      <c r="Q45" s="25"/>
      <c r="R45" s="25"/>
      <c r="S45" s="25"/>
      <c r="T45" s="25"/>
      <c r="U45" s="25"/>
      <c r="V45" s="25"/>
    </row>
  </sheetData>
  <sheetProtection algorithmName="SHA-512" hashValue="sPdEhlTOgTG0JVW8WMhVN3uBW21GzVH/S4ApVIQOPbFF03Mtk+TND3u9mL7uWHN2d+M3MNsBh9vE0JYtnKx8dQ==" saltValue="v8fjHWBWS6LiVXSDqbXv1A==" spinCount="100000" sheet="1" objects="1" scenarios="1"/>
  <mergeCells count="5">
    <mergeCell ref="B12:U13"/>
    <mergeCell ref="B3:D3"/>
    <mergeCell ref="I3:J3"/>
    <mergeCell ref="T3:U3"/>
    <mergeCell ref="M1:U1"/>
  </mergeCells>
  <conditionalFormatting sqref="C8:Q8 S8">
    <cfRule type="expression" dxfId="23" priority="26">
      <formula>$C$8&gt;0</formula>
    </cfRule>
  </conditionalFormatting>
  <conditionalFormatting sqref="S8">
    <cfRule type="expression" dxfId="22" priority="25">
      <formula>$S$8=0</formula>
    </cfRule>
  </conditionalFormatting>
  <conditionalFormatting sqref="O8">
    <cfRule type="expression" dxfId="21" priority="24">
      <formula>$O$8=0</formula>
    </cfRule>
  </conditionalFormatting>
  <conditionalFormatting sqref="P8">
    <cfRule type="expression" dxfId="20" priority="23">
      <formula>$P$8=0</formula>
    </cfRule>
  </conditionalFormatting>
  <conditionalFormatting sqref="Q8">
    <cfRule type="expression" dxfId="19" priority="22" stopIfTrue="1">
      <formula>$Q$8=0</formula>
    </cfRule>
  </conditionalFormatting>
  <conditionalFormatting sqref="N8">
    <cfRule type="expression" dxfId="18" priority="21">
      <formula>$N$8=0</formula>
    </cfRule>
  </conditionalFormatting>
  <conditionalFormatting sqref="N7">
    <cfRule type="expression" dxfId="17" priority="19">
      <formula>$N$7=0</formula>
    </cfRule>
  </conditionalFormatting>
  <conditionalFormatting sqref="O7">
    <cfRule type="expression" dxfId="16" priority="18">
      <formula>$O$7=0</formula>
    </cfRule>
  </conditionalFormatting>
  <conditionalFormatting sqref="P7">
    <cfRule type="expression" dxfId="15" priority="17">
      <formula>$P$7=0</formula>
    </cfRule>
  </conditionalFormatting>
  <conditionalFormatting sqref="Q7">
    <cfRule type="expression" dxfId="14" priority="16">
      <formula>$Q$7=0</formula>
    </cfRule>
  </conditionalFormatting>
  <conditionalFormatting sqref="S7">
    <cfRule type="expression" dxfId="13" priority="15">
      <formula>$S$7=0</formula>
    </cfRule>
  </conditionalFormatting>
  <conditionalFormatting sqref="R8">
    <cfRule type="expression" dxfId="12" priority="14">
      <formula>$C$8&gt;0</formula>
    </cfRule>
  </conditionalFormatting>
  <conditionalFormatting sqref="R8">
    <cfRule type="expression" dxfId="11" priority="13">
      <formula>$S$8=0</formula>
    </cfRule>
  </conditionalFormatting>
  <conditionalFormatting sqref="R7">
    <cfRule type="expression" dxfId="10" priority="12">
      <formula>$S$7=0</formula>
    </cfRule>
  </conditionalFormatting>
  <conditionalFormatting sqref="Q9">
    <cfRule type="expression" dxfId="9" priority="11">
      <formula>$Q$8 = 0</formula>
    </cfRule>
  </conditionalFormatting>
  <conditionalFormatting sqref="Q9:Q10">
    <cfRule type="expression" dxfId="8" priority="10">
      <formula>$Q$8 =0</formula>
    </cfRule>
  </conditionalFormatting>
  <conditionalFormatting sqref="R9">
    <cfRule type="expression" dxfId="7" priority="9">
      <formula>$Q$8 = 0</formula>
    </cfRule>
  </conditionalFormatting>
  <conditionalFormatting sqref="R9:R10">
    <cfRule type="expression" dxfId="6" priority="8">
      <formula>$R$8 =0</formula>
    </cfRule>
  </conditionalFormatting>
  <conditionalFormatting sqref="S9">
    <cfRule type="expression" dxfId="5" priority="7">
      <formula>$Q$8 = 0</formula>
    </cfRule>
  </conditionalFormatting>
  <conditionalFormatting sqref="S9:S10">
    <cfRule type="expression" dxfId="4" priority="6">
      <formula>$S$8 =0</formula>
    </cfRule>
  </conditionalFormatting>
  <conditionalFormatting sqref="N9:N10">
    <cfRule type="expression" dxfId="3" priority="4">
      <formula>$N$8 =0</formula>
    </cfRule>
  </conditionalFormatting>
  <conditionalFormatting sqref="O9:O10">
    <cfRule type="expression" dxfId="2" priority="3">
      <formula>$O$8=0</formula>
    </cfRule>
  </conditionalFormatting>
  <conditionalFormatting sqref="P9:P10">
    <cfRule type="expression" dxfId="1" priority="2">
      <formula>$P$8=0</formula>
    </cfRule>
  </conditionalFormatting>
  <conditionalFormatting sqref="C9:U9">
    <cfRule type="expression" dxfId="0" priority="1">
      <formula>$G$3=0</formula>
    </cfRule>
  </conditionalFormatting>
  <pageMargins left="0.31496062992125984" right="0.31496062992125984" top="0.35433070866141736" bottom="0.35433070866141736"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A23" sqref="A23"/>
    </sheetView>
  </sheetViews>
  <sheetFormatPr defaultRowHeight="15" x14ac:dyDescent="0.25"/>
  <cols>
    <col min="1" max="1" width="22.140625" customWidth="1"/>
    <col min="2" max="2" width="11" customWidth="1"/>
    <col min="3" max="3" width="10.5703125" customWidth="1"/>
    <col min="6" max="6" width="23.28515625" customWidth="1"/>
    <col min="7" max="7" width="11" customWidth="1"/>
    <col min="8" max="8" width="11.140625" customWidth="1"/>
    <col min="11" max="11" width="21.85546875" hidden="1" customWidth="1"/>
    <col min="12" max="12" width="0" hidden="1" customWidth="1"/>
    <col min="13" max="13" width="10.28515625" hidden="1" customWidth="1"/>
    <col min="14" max="14" width="9.28515625" hidden="1" customWidth="1"/>
  </cols>
  <sheetData>
    <row r="1" spans="1:14" x14ac:dyDescent="0.25">
      <c r="A1" s="11" t="s">
        <v>87</v>
      </c>
      <c r="B1" s="11"/>
      <c r="G1" s="11"/>
    </row>
    <row r="2" spans="1:14" x14ac:dyDescent="0.25">
      <c r="A2" s="3" t="s">
        <v>179</v>
      </c>
      <c r="B2" s="9" t="s">
        <v>78</v>
      </c>
      <c r="C2" s="3" t="s">
        <v>174</v>
      </c>
      <c r="D2" s="3" t="s">
        <v>175</v>
      </c>
      <c r="F2" s="3" t="s">
        <v>164</v>
      </c>
      <c r="G2" s="9" t="s">
        <v>78</v>
      </c>
      <c r="H2" s="3" t="s">
        <v>174</v>
      </c>
      <c r="I2" s="3" t="s">
        <v>175</v>
      </c>
      <c r="K2" s="3" t="s">
        <v>165</v>
      </c>
      <c r="L2" s="9" t="s">
        <v>78</v>
      </c>
      <c r="M2" s="3" t="s">
        <v>174</v>
      </c>
      <c r="N2" s="3" t="s">
        <v>175</v>
      </c>
    </row>
    <row r="3" spans="1:14" x14ac:dyDescent="0.25">
      <c r="A3" t="s">
        <v>1</v>
      </c>
      <c r="B3" s="4">
        <v>2</v>
      </c>
      <c r="C3" s="8">
        <v>88</v>
      </c>
      <c r="D3" s="8">
        <v>90.7</v>
      </c>
      <c r="F3" t="s">
        <v>1</v>
      </c>
      <c r="G3" s="4">
        <v>2</v>
      </c>
      <c r="H3" s="8">
        <v>78.2</v>
      </c>
      <c r="I3" s="8">
        <v>89.9</v>
      </c>
      <c r="K3" t="s">
        <v>1</v>
      </c>
      <c r="L3" s="4">
        <v>2</v>
      </c>
      <c r="N3" s="150">
        <v>65.384755420436548</v>
      </c>
    </row>
    <row r="4" spans="1:14" x14ac:dyDescent="0.25">
      <c r="A4" t="s">
        <v>2</v>
      </c>
      <c r="B4" s="4">
        <v>4</v>
      </c>
      <c r="C4" s="8">
        <v>79.099999999999994</v>
      </c>
      <c r="D4" s="8">
        <v>86.7</v>
      </c>
      <c r="F4" t="s">
        <v>2</v>
      </c>
      <c r="G4" s="4">
        <v>3</v>
      </c>
      <c r="H4" s="8">
        <v>78</v>
      </c>
      <c r="I4" s="8">
        <v>83.7</v>
      </c>
      <c r="K4" t="s">
        <v>2</v>
      </c>
      <c r="L4" s="4">
        <v>4</v>
      </c>
      <c r="N4" s="150">
        <v>76.652527716589901</v>
      </c>
    </row>
    <row r="5" spans="1:14" x14ac:dyDescent="0.25">
      <c r="A5" t="s">
        <v>3</v>
      </c>
      <c r="B5" s="4"/>
      <c r="C5" s="8">
        <v>45.2</v>
      </c>
      <c r="D5" s="8">
        <v>65.400000000000006</v>
      </c>
      <c r="F5" t="s">
        <v>3</v>
      </c>
      <c r="G5" s="4">
        <v>4</v>
      </c>
      <c r="H5" s="8">
        <v>75.599999999999994</v>
      </c>
      <c r="I5" s="8">
        <v>88.1</v>
      </c>
      <c r="K5" t="s">
        <v>3</v>
      </c>
      <c r="L5" s="4"/>
      <c r="N5" s="150">
        <v>45.543044910888206</v>
      </c>
    </row>
    <row r="6" spans="1:14" x14ac:dyDescent="0.25">
      <c r="A6" t="s">
        <v>4</v>
      </c>
      <c r="B6" s="4"/>
      <c r="C6" s="8">
        <v>17.7</v>
      </c>
      <c r="D6" s="8">
        <v>18.8</v>
      </c>
      <c r="F6" t="s">
        <v>4</v>
      </c>
      <c r="G6" s="4">
        <v>1</v>
      </c>
      <c r="H6" s="8">
        <v>82.5</v>
      </c>
      <c r="I6" s="8">
        <v>91.2</v>
      </c>
      <c r="K6" t="s">
        <v>4</v>
      </c>
      <c r="L6" s="4">
        <v>2</v>
      </c>
      <c r="N6" s="150">
        <v>67.233438313520594</v>
      </c>
    </row>
    <row r="7" spans="1:14" x14ac:dyDescent="0.25">
      <c r="A7" t="s">
        <v>5</v>
      </c>
      <c r="B7" s="4">
        <v>1</v>
      </c>
      <c r="C7" s="8">
        <v>62.9</v>
      </c>
      <c r="D7" s="8">
        <v>70.599999999999994</v>
      </c>
      <c r="F7" t="s">
        <v>5</v>
      </c>
      <c r="G7" s="4">
        <v>4</v>
      </c>
      <c r="H7" s="8">
        <v>67.099999999999994</v>
      </c>
      <c r="I7" s="8">
        <v>69.3</v>
      </c>
      <c r="K7" t="s">
        <v>5</v>
      </c>
      <c r="L7" s="4">
        <v>2</v>
      </c>
      <c r="N7" s="150">
        <v>70.577633758715479</v>
      </c>
    </row>
    <row r="8" spans="1:14" x14ac:dyDescent="0.25">
      <c r="A8" t="s">
        <v>180</v>
      </c>
      <c r="B8" s="4"/>
      <c r="C8" s="8">
        <v>71.900000000000006</v>
      </c>
      <c r="D8" s="8">
        <v>84.9</v>
      </c>
      <c r="F8" t="s">
        <v>6</v>
      </c>
      <c r="G8" s="4"/>
      <c r="H8" s="8">
        <v>56.8</v>
      </c>
      <c r="I8" s="8">
        <v>72.599999999999994</v>
      </c>
      <c r="K8" t="s">
        <v>6</v>
      </c>
      <c r="L8" s="4">
        <v>1</v>
      </c>
      <c r="N8" s="150">
        <v>65.794815313757255</v>
      </c>
    </row>
    <row r="9" spans="1:14" x14ac:dyDescent="0.25">
      <c r="A9" t="s">
        <v>181</v>
      </c>
      <c r="B9" s="4"/>
      <c r="C9" s="8">
        <v>48.6</v>
      </c>
      <c r="D9" s="8">
        <v>58.3</v>
      </c>
      <c r="F9" t="s">
        <v>17</v>
      </c>
      <c r="G9" s="4"/>
      <c r="H9" s="8">
        <v>50.8</v>
      </c>
      <c r="I9" s="8">
        <v>67.3</v>
      </c>
      <c r="K9" t="s">
        <v>7</v>
      </c>
      <c r="L9" s="4">
        <v>2</v>
      </c>
      <c r="N9" s="150">
        <v>75.895669112158885</v>
      </c>
    </row>
    <row r="10" spans="1:14" x14ac:dyDescent="0.25">
      <c r="A10" t="s">
        <v>7</v>
      </c>
      <c r="B10" s="4">
        <v>3</v>
      </c>
      <c r="C10" s="8">
        <v>40.6</v>
      </c>
      <c r="D10" s="8">
        <v>50.6</v>
      </c>
      <c r="F10" t="s">
        <v>18</v>
      </c>
      <c r="G10" s="4"/>
      <c r="H10" s="8">
        <v>35.700000000000003</v>
      </c>
      <c r="I10" s="8">
        <v>45.3</v>
      </c>
      <c r="K10" t="s">
        <v>8</v>
      </c>
      <c r="L10" s="4">
        <v>3</v>
      </c>
      <c r="N10" s="150">
        <v>71.097831825380936</v>
      </c>
    </row>
    <row r="11" spans="1:14" x14ac:dyDescent="0.25">
      <c r="A11" t="s">
        <v>8</v>
      </c>
      <c r="B11" s="4"/>
      <c r="C11" s="8">
        <v>20</v>
      </c>
      <c r="D11" s="8">
        <v>31.1</v>
      </c>
      <c r="F11" t="s">
        <v>8</v>
      </c>
      <c r="G11" s="4"/>
      <c r="H11" s="8">
        <v>64</v>
      </c>
      <c r="I11" s="8">
        <v>76.099999999999994</v>
      </c>
      <c r="K11" t="s">
        <v>100</v>
      </c>
      <c r="L11" s="4"/>
      <c r="N11" s="150">
        <v>80.881924596311734</v>
      </c>
    </row>
    <row r="12" spans="1:14" x14ac:dyDescent="0.25">
      <c r="A12" t="s">
        <v>9</v>
      </c>
      <c r="B12" s="4">
        <v>4</v>
      </c>
      <c r="C12" s="8">
        <v>54.5</v>
      </c>
      <c r="D12" s="8">
        <v>55.6</v>
      </c>
      <c r="F12" t="s">
        <v>100</v>
      </c>
      <c r="G12" s="4"/>
      <c r="H12" s="8">
        <v>82.1</v>
      </c>
      <c r="I12" s="8">
        <v>90.8</v>
      </c>
      <c r="K12" t="s">
        <v>101</v>
      </c>
      <c r="L12" s="4"/>
      <c r="N12" s="150">
        <v>63.237516156632864</v>
      </c>
    </row>
    <row r="13" spans="1:14" x14ac:dyDescent="0.25">
      <c r="A13" t="s">
        <v>10</v>
      </c>
      <c r="B13" s="4">
        <v>2</v>
      </c>
      <c r="C13" s="8">
        <v>69.7</v>
      </c>
      <c r="D13" s="8">
        <v>78.599999999999994</v>
      </c>
      <c r="F13" t="s">
        <v>101</v>
      </c>
      <c r="G13" s="4"/>
      <c r="H13" s="8">
        <v>63.4</v>
      </c>
      <c r="I13" s="8">
        <v>78.7</v>
      </c>
      <c r="K13" t="s">
        <v>10</v>
      </c>
      <c r="L13" s="4"/>
      <c r="N13" s="150">
        <v>48.575485609218838</v>
      </c>
    </row>
    <row r="14" spans="1:14" x14ac:dyDescent="0.25">
      <c r="A14" t="s">
        <v>11</v>
      </c>
      <c r="B14" s="4">
        <v>3</v>
      </c>
      <c r="C14" s="8">
        <v>78.8</v>
      </c>
      <c r="D14" s="8">
        <v>86.5</v>
      </c>
      <c r="F14" t="s">
        <v>10</v>
      </c>
      <c r="G14" s="4"/>
      <c r="H14" s="8">
        <v>82.7</v>
      </c>
      <c r="I14" s="8">
        <v>93.9</v>
      </c>
      <c r="K14" t="s">
        <v>11</v>
      </c>
      <c r="L14" s="4">
        <v>2</v>
      </c>
      <c r="N14" s="150">
        <v>69.70244488540169</v>
      </c>
    </row>
    <row r="15" spans="1:14" x14ac:dyDescent="0.25">
      <c r="A15" t="s">
        <v>12</v>
      </c>
      <c r="B15" s="4">
        <v>1</v>
      </c>
      <c r="C15" s="8">
        <v>70.400000000000006</v>
      </c>
      <c r="D15" s="8">
        <v>71.2</v>
      </c>
      <c r="F15" t="s">
        <v>11</v>
      </c>
      <c r="G15" s="4">
        <v>1</v>
      </c>
      <c r="H15" s="8">
        <v>59.1</v>
      </c>
      <c r="I15" s="8">
        <v>72.8</v>
      </c>
      <c r="K15" t="s">
        <v>29</v>
      </c>
      <c r="L15" s="4"/>
      <c r="N15" s="150">
        <v>69.307403833900707</v>
      </c>
    </row>
    <row r="16" spans="1:14" x14ac:dyDescent="0.25">
      <c r="A16" t="s">
        <v>184</v>
      </c>
      <c r="B16" s="4"/>
      <c r="C16" s="8">
        <v>54.6</v>
      </c>
      <c r="D16" s="8">
        <v>61.6</v>
      </c>
      <c r="F16" t="s">
        <v>29</v>
      </c>
      <c r="G16" s="4"/>
      <c r="H16" s="8">
        <v>45.3</v>
      </c>
      <c r="I16" s="8">
        <v>57.6</v>
      </c>
      <c r="K16" t="s">
        <v>30</v>
      </c>
      <c r="L16" s="4"/>
      <c r="N16" s="150">
        <v>61.738817789590577</v>
      </c>
    </row>
    <row r="17" spans="1:14" x14ac:dyDescent="0.25">
      <c r="A17" t="s">
        <v>185</v>
      </c>
      <c r="B17" s="4"/>
      <c r="C17" s="8">
        <v>32.299999999999997</v>
      </c>
      <c r="D17" s="8">
        <v>27.2</v>
      </c>
      <c r="F17" t="s">
        <v>218</v>
      </c>
      <c r="G17" s="4"/>
      <c r="H17" s="8">
        <v>27.2</v>
      </c>
      <c r="I17" s="8">
        <v>36.9</v>
      </c>
      <c r="K17" t="s">
        <v>184</v>
      </c>
      <c r="L17" s="4"/>
      <c r="N17" s="150">
        <v>72.868234694434847</v>
      </c>
    </row>
    <row r="18" spans="1:14" x14ac:dyDescent="0.25">
      <c r="A18" t="s">
        <v>186</v>
      </c>
      <c r="B18" s="4"/>
      <c r="C18" s="8">
        <v>14.5</v>
      </c>
      <c r="D18" s="8">
        <v>7.8</v>
      </c>
      <c r="F18" t="s">
        <v>13</v>
      </c>
      <c r="G18" s="4">
        <v>2</v>
      </c>
      <c r="H18" s="8">
        <v>70.400000000000006</v>
      </c>
      <c r="I18" s="8">
        <v>78.099999999999994</v>
      </c>
      <c r="K18" t="s">
        <v>185</v>
      </c>
      <c r="L18" s="4"/>
      <c r="N18" s="150">
        <v>37.916203964974244</v>
      </c>
    </row>
    <row r="19" spans="1:14" ht="15.75" thickBot="1" x14ac:dyDescent="0.3">
      <c r="A19" t="s">
        <v>14</v>
      </c>
      <c r="B19" s="4"/>
      <c r="C19" s="8">
        <v>42.7</v>
      </c>
      <c r="D19" s="8">
        <v>48.2</v>
      </c>
      <c r="F19" s="1" t="s">
        <v>231</v>
      </c>
      <c r="G19" s="12"/>
      <c r="H19" s="2">
        <f>SUM(H3:H18)/19</f>
        <v>53.626315789473686</v>
      </c>
      <c r="I19" s="2">
        <f>SUM(I3:I18)/16</f>
        <v>74.518749999999997</v>
      </c>
      <c r="K19" t="s">
        <v>186</v>
      </c>
      <c r="L19" s="4"/>
      <c r="N19" s="150">
        <v>20.57854399155304</v>
      </c>
    </row>
    <row r="20" spans="1:14" ht="15.75" thickTop="1" x14ac:dyDescent="0.25">
      <c r="A20" t="s">
        <v>182</v>
      </c>
      <c r="B20" s="4"/>
      <c r="C20" s="8">
        <v>62.3</v>
      </c>
      <c r="D20" s="8">
        <v>68.099999999999994</v>
      </c>
      <c r="K20" t="s">
        <v>187</v>
      </c>
      <c r="L20" s="4"/>
      <c r="N20" s="150">
        <v>62.7924122990661</v>
      </c>
    </row>
    <row r="21" spans="1:14" ht="15" customHeight="1" x14ac:dyDescent="0.25">
      <c r="A21" t="s">
        <v>19</v>
      </c>
      <c r="B21" s="4"/>
      <c r="C21" s="8">
        <v>34.5</v>
      </c>
      <c r="D21" s="8">
        <v>23.9</v>
      </c>
      <c r="F21" s="199" t="s">
        <v>219</v>
      </c>
      <c r="G21" s="199"/>
      <c r="H21" s="199"/>
      <c r="I21" s="199"/>
      <c r="K21" t="s">
        <v>188</v>
      </c>
      <c r="L21" s="4"/>
      <c r="N21" s="150">
        <v>42.278949955398588</v>
      </c>
    </row>
    <row r="22" spans="1:14" ht="15.75" thickBot="1" x14ac:dyDescent="0.3">
      <c r="A22" s="1" t="s">
        <v>231</v>
      </c>
      <c r="B22" s="12"/>
      <c r="C22" s="2">
        <f>SUM(C3:C21)/19</f>
        <v>52.015789473684208</v>
      </c>
      <c r="D22" s="2">
        <f>SUM(D3:D21)/19</f>
        <v>57.14736842105264</v>
      </c>
      <c r="F22" s="199"/>
      <c r="G22" s="199"/>
      <c r="H22" s="199"/>
      <c r="I22" s="199"/>
      <c r="K22" s="1" t="s">
        <v>22</v>
      </c>
      <c r="L22" s="12"/>
      <c r="M22" s="2">
        <f>SUM(M3:M21)/19</f>
        <v>0</v>
      </c>
      <c r="N22" s="2">
        <f>SUM(N3:N21)/19</f>
        <v>61.476718639364798</v>
      </c>
    </row>
    <row r="23" spans="1:14" ht="15.75" thickTop="1" x14ac:dyDescent="0.25">
      <c r="F23" s="169"/>
      <c r="G23" s="169"/>
      <c r="H23" s="169"/>
      <c r="I23" s="169"/>
    </row>
    <row r="24" spans="1:14" x14ac:dyDescent="0.25">
      <c r="A24" s="165" t="s">
        <v>232</v>
      </c>
    </row>
    <row r="26" spans="1:14" x14ac:dyDescent="0.25">
      <c r="A26" s="165" t="s">
        <v>176</v>
      </c>
    </row>
  </sheetData>
  <sheetProtection algorithmName="SHA-512" hashValue="Hpyw9JP6vrSsA+ggnQTb2kA0UigckTCSikqaE7N/AaYC+bzha6zB2M7FIOhk/wkmPnb3hzWGNSP1E+TJOYVasg==" saltValue="wjLhQ+ajMSb/UJ56aQbJiw==" spinCount="100000" sheet="1" objects="1" scenarios="1"/>
  <mergeCells count="1">
    <mergeCell ref="F21:I22"/>
  </mergeCells>
  <pageMargins left="0.51181102362204722" right="0.5118110236220472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F25" sqref="F25"/>
    </sheetView>
  </sheetViews>
  <sheetFormatPr defaultRowHeight="15" x14ac:dyDescent="0.25"/>
  <cols>
    <col min="1" max="1" width="24.5703125" customWidth="1"/>
    <col min="3" max="3" width="10.28515625" bestFit="1" customWidth="1"/>
    <col min="4" max="4" width="9.28515625" bestFit="1" customWidth="1"/>
    <col min="6" max="6" width="16" customWidth="1"/>
    <col min="8" max="8" width="10.28515625" bestFit="1" customWidth="1"/>
    <col min="9" max="9" width="9.28515625" bestFit="1" customWidth="1"/>
  </cols>
  <sheetData>
    <row r="1" spans="1:9" x14ac:dyDescent="0.25">
      <c r="A1" s="11" t="s">
        <v>189</v>
      </c>
    </row>
    <row r="2" spans="1:9" x14ac:dyDescent="0.25">
      <c r="A2" s="3" t="s">
        <v>169</v>
      </c>
      <c r="B2" s="9" t="s">
        <v>78</v>
      </c>
      <c r="C2" s="3" t="s">
        <v>174</v>
      </c>
      <c r="D2" s="3" t="s">
        <v>175</v>
      </c>
      <c r="F2" s="3" t="s">
        <v>168</v>
      </c>
      <c r="G2" s="9" t="s">
        <v>78</v>
      </c>
      <c r="H2" s="3" t="s">
        <v>174</v>
      </c>
      <c r="I2" s="3" t="s">
        <v>175</v>
      </c>
    </row>
    <row r="3" spans="1:9" x14ac:dyDescent="0.25">
      <c r="A3" t="s">
        <v>1</v>
      </c>
      <c r="B3" s="4">
        <v>4</v>
      </c>
      <c r="C3" s="8">
        <v>84.4</v>
      </c>
      <c r="D3" s="8">
        <v>94.2</v>
      </c>
      <c r="F3" t="s">
        <v>199</v>
      </c>
      <c r="G3" s="4"/>
      <c r="H3" s="8">
        <v>82.8</v>
      </c>
      <c r="I3" s="8">
        <v>89.1</v>
      </c>
    </row>
    <row r="4" spans="1:9" x14ac:dyDescent="0.25">
      <c r="A4" t="s">
        <v>190</v>
      </c>
      <c r="B4" s="4"/>
      <c r="C4" s="8">
        <v>80.3</v>
      </c>
      <c r="D4" s="8">
        <v>87.9</v>
      </c>
      <c r="F4" t="s">
        <v>196</v>
      </c>
      <c r="G4" s="4"/>
      <c r="H4" s="8">
        <v>54.3</v>
      </c>
      <c r="I4" s="8">
        <v>58.2</v>
      </c>
    </row>
    <row r="5" spans="1:9" x14ac:dyDescent="0.25">
      <c r="A5" t="s">
        <v>191</v>
      </c>
      <c r="B5" s="4"/>
      <c r="C5" s="8">
        <v>51</v>
      </c>
      <c r="D5" s="8">
        <v>51.8</v>
      </c>
      <c r="F5" t="s">
        <v>2</v>
      </c>
      <c r="G5" s="4"/>
      <c r="H5" s="8">
        <v>67</v>
      </c>
      <c r="I5" s="8">
        <v>84.1</v>
      </c>
    </row>
    <row r="6" spans="1:9" x14ac:dyDescent="0.25">
      <c r="A6" t="s">
        <v>192</v>
      </c>
      <c r="B6" s="4"/>
      <c r="C6" s="8">
        <v>64.3</v>
      </c>
      <c r="D6" s="8">
        <v>69.3</v>
      </c>
      <c r="F6" t="s">
        <v>3</v>
      </c>
      <c r="G6" s="4">
        <v>3</v>
      </c>
      <c r="H6" s="8">
        <v>60.1</v>
      </c>
      <c r="I6" s="8">
        <v>73.3</v>
      </c>
    </row>
    <row r="7" spans="1:9" x14ac:dyDescent="0.25">
      <c r="A7" t="s">
        <v>193</v>
      </c>
      <c r="B7" s="4"/>
      <c r="C7" s="8">
        <v>40.700000000000003</v>
      </c>
      <c r="D7" s="8">
        <v>42.7</v>
      </c>
      <c r="F7" t="s">
        <v>4</v>
      </c>
      <c r="G7" s="4">
        <v>4</v>
      </c>
      <c r="H7" s="8">
        <v>54.2</v>
      </c>
      <c r="I7" s="8">
        <v>70.400000000000006</v>
      </c>
    </row>
    <row r="8" spans="1:9" x14ac:dyDescent="0.25">
      <c r="A8" t="s">
        <v>4</v>
      </c>
      <c r="B8" s="4"/>
      <c r="C8" s="8">
        <v>52.8</v>
      </c>
      <c r="D8" s="8">
        <v>64</v>
      </c>
      <c r="F8" t="s">
        <v>5</v>
      </c>
      <c r="G8" s="4"/>
      <c r="H8" s="8">
        <v>48.8</v>
      </c>
      <c r="I8" s="8">
        <v>57.3</v>
      </c>
    </row>
    <row r="9" spans="1:9" x14ac:dyDescent="0.25">
      <c r="A9" t="s">
        <v>5</v>
      </c>
      <c r="B9" s="4">
        <v>2</v>
      </c>
      <c r="C9" s="8">
        <v>56.6</v>
      </c>
      <c r="D9" s="8">
        <v>61.4</v>
      </c>
      <c r="F9" t="s">
        <v>6</v>
      </c>
      <c r="G9" s="4">
        <v>2</v>
      </c>
      <c r="H9" s="8">
        <v>66.3</v>
      </c>
      <c r="I9" s="8">
        <v>79.5</v>
      </c>
    </row>
    <row r="10" spans="1:9" x14ac:dyDescent="0.25">
      <c r="A10" t="s">
        <v>6</v>
      </c>
      <c r="B10" s="4"/>
      <c r="C10" s="8">
        <v>72</v>
      </c>
      <c r="D10" s="8">
        <v>81.3</v>
      </c>
      <c r="F10" t="s">
        <v>17</v>
      </c>
      <c r="G10" s="4"/>
      <c r="H10" s="8">
        <v>64.3</v>
      </c>
      <c r="I10" s="8">
        <v>71</v>
      </c>
    </row>
    <row r="11" spans="1:9" x14ac:dyDescent="0.25">
      <c r="A11" t="s">
        <v>17</v>
      </c>
      <c r="B11" s="4"/>
      <c r="C11" s="8">
        <v>43.9</v>
      </c>
      <c r="D11" s="8">
        <v>60.6</v>
      </c>
      <c r="F11" t="s">
        <v>18</v>
      </c>
      <c r="G11" s="4"/>
      <c r="H11" s="8">
        <v>35</v>
      </c>
      <c r="I11" s="8">
        <v>36.200000000000003</v>
      </c>
    </row>
    <row r="12" spans="1:9" x14ac:dyDescent="0.25">
      <c r="A12" t="s">
        <v>18</v>
      </c>
      <c r="B12" s="4"/>
      <c r="C12" s="8">
        <v>24.8</v>
      </c>
      <c r="D12" s="8">
        <v>28.8</v>
      </c>
      <c r="F12" t="s">
        <v>8</v>
      </c>
      <c r="G12" s="4">
        <v>4</v>
      </c>
      <c r="H12" s="8">
        <v>54.1</v>
      </c>
      <c r="I12" s="8">
        <v>65.099999999999994</v>
      </c>
    </row>
    <row r="13" spans="1:9" x14ac:dyDescent="0.25">
      <c r="A13" t="s">
        <v>8</v>
      </c>
      <c r="B13" s="4"/>
      <c r="C13" s="8">
        <v>53</v>
      </c>
      <c r="D13" s="8">
        <v>62.7</v>
      </c>
      <c r="F13" t="s">
        <v>9</v>
      </c>
      <c r="G13" s="4">
        <v>2</v>
      </c>
      <c r="H13" s="8">
        <v>65.8</v>
      </c>
      <c r="I13" s="8">
        <v>76.099999999999994</v>
      </c>
    </row>
    <row r="14" spans="1:9" x14ac:dyDescent="0.25">
      <c r="A14" t="s">
        <v>9</v>
      </c>
      <c r="B14" s="4">
        <v>3</v>
      </c>
      <c r="C14" s="8">
        <v>47.4</v>
      </c>
      <c r="D14" s="8">
        <v>58.3</v>
      </c>
      <c r="F14" t="s">
        <v>194</v>
      </c>
      <c r="G14" s="4"/>
      <c r="H14" s="8">
        <v>38.5</v>
      </c>
      <c r="I14" s="8">
        <v>53.6</v>
      </c>
    </row>
    <row r="15" spans="1:9" x14ac:dyDescent="0.25">
      <c r="A15" t="s">
        <v>10</v>
      </c>
      <c r="B15" s="4"/>
      <c r="C15" s="8">
        <v>61</v>
      </c>
      <c r="D15" s="8">
        <v>70</v>
      </c>
      <c r="F15" t="s">
        <v>195</v>
      </c>
      <c r="G15" s="4"/>
      <c r="H15" s="8">
        <v>22.3</v>
      </c>
      <c r="I15" s="8">
        <v>29.9</v>
      </c>
    </row>
    <row r="16" spans="1:9" x14ac:dyDescent="0.25">
      <c r="A16" t="s">
        <v>26</v>
      </c>
      <c r="B16" s="4"/>
      <c r="C16" s="8">
        <f>C17+11.3</f>
        <v>49.099999999999994</v>
      </c>
      <c r="D16" s="8">
        <f>D17+7.8</f>
        <v>46.5</v>
      </c>
      <c r="F16" t="s">
        <v>11</v>
      </c>
      <c r="G16" s="4">
        <v>2</v>
      </c>
      <c r="H16" s="8">
        <v>58.7</v>
      </c>
      <c r="I16" s="8">
        <v>75.7</v>
      </c>
    </row>
    <row r="17" spans="1:9" x14ac:dyDescent="0.25">
      <c r="A17" t="s">
        <v>27</v>
      </c>
      <c r="B17" s="4"/>
      <c r="C17" s="8">
        <f>C18+15.9</f>
        <v>37.799999999999997</v>
      </c>
      <c r="D17" s="8">
        <f>D18+18.2</f>
        <v>38.700000000000003</v>
      </c>
      <c r="F17" t="s">
        <v>29</v>
      </c>
      <c r="G17" s="4"/>
      <c r="H17" s="8">
        <f>H18+21.9</f>
        <v>78</v>
      </c>
      <c r="I17" s="8">
        <f>I18+17.5</f>
        <v>81.400000000000006</v>
      </c>
    </row>
    <row r="18" spans="1:9" x14ac:dyDescent="0.25">
      <c r="A18" t="s">
        <v>28</v>
      </c>
      <c r="B18" s="4"/>
      <c r="C18" s="8">
        <v>21.9</v>
      </c>
      <c r="D18" s="8">
        <v>20.5</v>
      </c>
      <c r="F18" t="s">
        <v>30</v>
      </c>
      <c r="G18" s="4"/>
      <c r="H18" s="8">
        <f>H19+25.4</f>
        <v>56.099999999999994</v>
      </c>
      <c r="I18" s="8">
        <f>I19+28.6</f>
        <v>63.9</v>
      </c>
    </row>
    <row r="19" spans="1:9" x14ac:dyDescent="0.25">
      <c r="A19" t="s">
        <v>12</v>
      </c>
      <c r="B19" s="4">
        <v>3</v>
      </c>
      <c r="C19" s="8">
        <v>68.599999999999994</v>
      </c>
      <c r="D19" s="8">
        <v>75.400000000000006</v>
      </c>
      <c r="F19" t="s">
        <v>183</v>
      </c>
      <c r="G19" s="4"/>
      <c r="H19" s="8">
        <v>30.7</v>
      </c>
      <c r="I19" s="8">
        <v>35.299999999999997</v>
      </c>
    </row>
    <row r="20" spans="1:9" ht="15.75" thickBot="1" x14ac:dyDescent="0.3">
      <c r="A20" t="s">
        <v>13</v>
      </c>
      <c r="B20" s="4">
        <v>4</v>
      </c>
      <c r="C20" s="8">
        <v>44.6</v>
      </c>
      <c r="D20" s="8">
        <v>52</v>
      </c>
      <c r="F20" s="1" t="s">
        <v>231</v>
      </c>
      <c r="G20" s="12"/>
      <c r="H20" s="2">
        <f>SUM(H3:H19)/17</f>
        <v>55.117647058823529</v>
      </c>
      <c r="I20" s="2">
        <f>SUM(I3:I19)/17</f>
        <v>64.711764705882359</v>
      </c>
    </row>
    <row r="21" spans="1:9" ht="15.75" thickTop="1" x14ac:dyDescent="0.25">
      <c r="A21" t="s">
        <v>14</v>
      </c>
      <c r="B21" s="4"/>
      <c r="C21" s="8">
        <v>46.8</v>
      </c>
      <c r="D21" s="8">
        <v>50.7</v>
      </c>
    </row>
    <row r="22" spans="1:9" x14ac:dyDescent="0.25">
      <c r="A22" t="s">
        <v>182</v>
      </c>
      <c r="B22" s="4">
        <v>2</v>
      </c>
      <c r="C22" s="8">
        <v>48.5</v>
      </c>
      <c r="D22" s="8">
        <v>57.6</v>
      </c>
    </row>
    <row r="23" spans="1:9" ht="15" customHeight="1" x14ac:dyDescent="0.25">
      <c r="A23" t="s">
        <v>19</v>
      </c>
      <c r="B23" s="5">
        <v>2</v>
      </c>
      <c r="C23" s="8">
        <v>56.7</v>
      </c>
      <c r="D23" s="8">
        <v>69.400000000000006</v>
      </c>
    </row>
    <row r="24" spans="1:9" ht="15.75" thickBot="1" x14ac:dyDescent="0.3">
      <c r="A24" s="1" t="s">
        <v>231</v>
      </c>
      <c r="B24" s="12"/>
      <c r="C24" s="2">
        <f>SUM(C3:C23)/21</f>
        <v>52.676190476190477</v>
      </c>
      <c r="D24" s="2">
        <f>SUM(D3:D23)/21</f>
        <v>59.228571428571428</v>
      </c>
    </row>
    <row r="25" spans="1:9" ht="15.75" thickTop="1" x14ac:dyDescent="0.25">
      <c r="A25" s="144"/>
      <c r="B25" s="12"/>
      <c r="C25" s="145"/>
      <c r="D25" s="145"/>
    </row>
    <row r="26" spans="1:9" x14ac:dyDescent="0.25">
      <c r="A26" s="165" t="s">
        <v>232</v>
      </c>
      <c r="B26" s="12"/>
      <c r="C26" s="145"/>
      <c r="D26" s="145"/>
    </row>
    <row r="27" spans="1:9" x14ac:dyDescent="0.25">
      <c r="A27" s="144"/>
      <c r="B27" s="12"/>
      <c r="C27" s="145"/>
      <c r="D27" s="145"/>
    </row>
    <row r="28" spans="1:9" x14ac:dyDescent="0.25">
      <c r="A28" s="165" t="s">
        <v>176</v>
      </c>
      <c r="B28" s="12"/>
      <c r="C28" s="145"/>
      <c r="D28" s="145"/>
    </row>
  </sheetData>
  <sheetProtection algorithmName="SHA-512" hashValue="AvrCudCK+cn9gAWlLKi/3lG8ohyqXHx7spcStXLCvZlpC3fEmFdQ5dr2q30/i0ObEkjr6vZjKikZeGqBaFdngQ==" saltValue="C1YKEfaQyIs53AOFhaFjXw==" spinCount="100000" sheet="1" objects="1" scenarios="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6" zoomScaleNormal="96" workbookViewId="0">
      <selection activeCell="A22" sqref="A22"/>
    </sheetView>
  </sheetViews>
  <sheetFormatPr defaultRowHeight="15" x14ac:dyDescent="0.25"/>
  <cols>
    <col min="1" max="1" width="22.140625" customWidth="1"/>
    <col min="2" max="2" width="11" customWidth="1"/>
    <col min="3" max="3" width="10.5703125" customWidth="1"/>
    <col min="6" max="6" width="26" hidden="1" customWidth="1"/>
    <col min="7" max="7" width="11" hidden="1" customWidth="1"/>
    <col min="8" max="8" width="11.140625" hidden="1" customWidth="1"/>
    <col min="9" max="10" width="0" hidden="1" customWidth="1"/>
    <col min="11" max="11" width="23.28515625" customWidth="1"/>
    <col min="12" max="12" width="12" customWidth="1"/>
    <col min="13" max="14" width="11.42578125" customWidth="1"/>
  </cols>
  <sheetData>
    <row r="1" spans="1:14" x14ac:dyDescent="0.25">
      <c r="A1" s="149" t="s">
        <v>198</v>
      </c>
      <c r="B1" s="11"/>
      <c r="G1" s="11"/>
    </row>
    <row r="2" spans="1:14" x14ac:dyDescent="0.25">
      <c r="A2" s="3" t="s">
        <v>171</v>
      </c>
      <c r="B2" s="9" t="s">
        <v>78</v>
      </c>
      <c r="C2" s="3" t="s">
        <v>174</v>
      </c>
      <c r="D2" s="3" t="s">
        <v>175</v>
      </c>
      <c r="F2" s="155" t="s">
        <v>177</v>
      </c>
      <c r="G2" s="156" t="s">
        <v>78</v>
      </c>
      <c r="H2" s="155" t="s">
        <v>174</v>
      </c>
      <c r="I2" s="161" t="s">
        <v>175</v>
      </c>
      <c r="J2" s="91"/>
      <c r="K2" s="3" t="s">
        <v>164</v>
      </c>
      <c r="L2" s="9" t="s">
        <v>78</v>
      </c>
      <c r="M2" s="3" t="s">
        <v>174</v>
      </c>
      <c r="N2" s="3" t="s">
        <v>175</v>
      </c>
    </row>
    <row r="3" spans="1:14" x14ac:dyDescent="0.25">
      <c r="A3" t="s">
        <v>1</v>
      </c>
      <c r="B3" s="4">
        <v>4</v>
      </c>
      <c r="C3" s="8">
        <v>59.6</v>
      </c>
      <c r="D3" s="8">
        <v>87.4</v>
      </c>
      <c r="F3" s="154" t="s">
        <v>1</v>
      </c>
      <c r="G3" s="156">
        <v>3</v>
      </c>
      <c r="H3" s="154"/>
      <c r="I3" s="157">
        <v>91.4</v>
      </c>
      <c r="K3" t="s">
        <v>1</v>
      </c>
      <c r="L3" s="4">
        <v>2</v>
      </c>
      <c r="M3" s="8">
        <v>36.1</v>
      </c>
      <c r="N3" s="8">
        <v>78.599999999999994</v>
      </c>
    </row>
    <row r="4" spans="1:14" x14ac:dyDescent="0.25">
      <c r="A4" t="s">
        <v>2</v>
      </c>
      <c r="B4" s="4">
        <v>2</v>
      </c>
      <c r="C4" s="8">
        <v>44.6</v>
      </c>
      <c r="D4" s="8">
        <v>83.4</v>
      </c>
      <c r="F4" s="154" t="s">
        <v>2</v>
      </c>
      <c r="G4" s="156"/>
      <c r="H4" s="154"/>
      <c r="I4" s="157">
        <v>38.01</v>
      </c>
      <c r="K4" t="s">
        <v>2</v>
      </c>
      <c r="L4" s="4">
        <v>3</v>
      </c>
      <c r="M4" s="8">
        <v>47.7</v>
      </c>
      <c r="N4" s="8">
        <v>74.599999999999994</v>
      </c>
    </row>
    <row r="5" spans="1:14" x14ac:dyDescent="0.25">
      <c r="A5" t="s">
        <v>3</v>
      </c>
      <c r="B5" s="4"/>
      <c r="C5" s="8">
        <v>60.7</v>
      </c>
      <c r="D5" s="8">
        <v>70.3</v>
      </c>
      <c r="F5" s="154" t="s">
        <v>3</v>
      </c>
      <c r="G5" s="156">
        <v>4</v>
      </c>
      <c r="H5" s="154"/>
      <c r="I5" s="157">
        <v>96.4</v>
      </c>
      <c r="K5" t="s">
        <v>3</v>
      </c>
      <c r="L5" s="4">
        <v>4</v>
      </c>
      <c r="M5" s="8">
        <v>40.5</v>
      </c>
      <c r="N5" s="8">
        <v>76.099999999999994</v>
      </c>
    </row>
    <row r="6" spans="1:14" x14ac:dyDescent="0.25">
      <c r="A6" t="s">
        <v>4</v>
      </c>
      <c r="B6" s="4"/>
      <c r="C6" s="8">
        <v>61</v>
      </c>
      <c r="D6" s="8">
        <v>76.099999999999994</v>
      </c>
      <c r="F6" s="154" t="s">
        <v>4</v>
      </c>
      <c r="G6" s="156">
        <v>2</v>
      </c>
      <c r="H6" s="154"/>
      <c r="I6" s="157">
        <v>90.78</v>
      </c>
      <c r="K6" t="s">
        <v>4</v>
      </c>
      <c r="L6" s="4">
        <v>1</v>
      </c>
      <c r="M6" s="8">
        <v>52.4</v>
      </c>
      <c r="N6" s="8">
        <v>77.099999999999994</v>
      </c>
    </row>
    <row r="7" spans="1:14" x14ac:dyDescent="0.25">
      <c r="A7" t="s">
        <v>15</v>
      </c>
      <c r="B7" s="4"/>
      <c r="C7" s="8">
        <v>63.5</v>
      </c>
      <c r="D7" s="8">
        <v>82.7</v>
      </c>
      <c r="F7" s="154" t="s">
        <v>5</v>
      </c>
      <c r="G7" s="156"/>
      <c r="H7" s="154"/>
      <c r="I7" s="157">
        <v>86.26</v>
      </c>
      <c r="K7" t="s">
        <v>5</v>
      </c>
      <c r="L7" s="4">
        <v>4</v>
      </c>
      <c r="M7" s="8">
        <v>38.200000000000003</v>
      </c>
      <c r="N7" s="8">
        <v>56.3</v>
      </c>
    </row>
    <row r="8" spans="1:14" x14ac:dyDescent="0.25">
      <c r="A8" t="s">
        <v>16</v>
      </c>
      <c r="B8" s="4"/>
      <c r="C8" s="8">
        <v>37</v>
      </c>
      <c r="D8" s="8">
        <v>64.3</v>
      </c>
      <c r="F8" s="154" t="s">
        <v>6</v>
      </c>
      <c r="G8" s="156"/>
      <c r="H8" s="154"/>
      <c r="I8" s="157">
        <v>59.39</v>
      </c>
      <c r="K8" t="s">
        <v>6</v>
      </c>
      <c r="L8" s="4"/>
      <c r="M8" s="8">
        <v>25.1</v>
      </c>
      <c r="N8" s="8">
        <v>56.3</v>
      </c>
    </row>
    <row r="9" spans="1:14" x14ac:dyDescent="0.25">
      <c r="A9" t="s">
        <v>6</v>
      </c>
      <c r="B9" s="4"/>
      <c r="C9" s="8">
        <v>66</v>
      </c>
      <c r="D9" s="8">
        <v>87.1</v>
      </c>
      <c r="F9" s="154" t="s">
        <v>7</v>
      </c>
      <c r="G9" s="156">
        <v>2</v>
      </c>
      <c r="H9" s="154"/>
      <c r="I9" s="157">
        <v>85.47</v>
      </c>
      <c r="K9" t="s">
        <v>17</v>
      </c>
      <c r="L9" s="4"/>
      <c r="M9" s="8">
        <v>18.600000000000001</v>
      </c>
      <c r="N9" s="8">
        <v>49</v>
      </c>
    </row>
    <row r="10" spans="1:14" x14ac:dyDescent="0.25">
      <c r="A10" t="s">
        <v>7</v>
      </c>
      <c r="B10" s="4">
        <v>4</v>
      </c>
      <c r="C10" s="8">
        <v>57.8</v>
      </c>
      <c r="D10" s="8">
        <v>88.4</v>
      </c>
      <c r="F10" s="154" t="s">
        <v>8</v>
      </c>
      <c r="G10" s="156">
        <v>3</v>
      </c>
      <c r="H10" s="154"/>
      <c r="I10" s="157">
        <v>87.84</v>
      </c>
      <c r="K10" t="s">
        <v>18</v>
      </c>
      <c r="L10" s="4"/>
      <c r="M10" s="8">
        <v>7.4</v>
      </c>
      <c r="N10" s="8">
        <v>26.91</v>
      </c>
    </row>
    <row r="11" spans="1:14" x14ac:dyDescent="0.25">
      <c r="A11" t="s">
        <v>8</v>
      </c>
      <c r="B11" s="4">
        <v>1</v>
      </c>
      <c r="C11" s="8">
        <v>49.6</v>
      </c>
      <c r="D11" s="8">
        <v>80.599999999999994</v>
      </c>
      <c r="F11" s="154" t="s">
        <v>9</v>
      </c>
      <c r="G11" s="156"/>
      <c r="H11" s="154"/>
      <c r="I11" s="157">
        <v>93.98</v>
      </c>
      <c r="K11" t="s">
        <v>8</v>
      </c>
      <c r="L11" s="4"/>
      <c r="M11" s="8">
        <v>21.9</v>
      </c>
      <c r="N11" s="8">
        <v>63.4</v>
      </c>
    </row>
    <row r="12" spans="1:14" x14ac:dyDescent="0.25">
      <c r="A12" t="s">
        <v>9</v>
      </c>
      <c r="B12" s="4"/>
      <c r="C12" s="8">
        <v>46.6</v>
      </c>
      <c r="D12" s="8">
        <v>45.1</v>
      </c>
      <c r="F12" s="154" t="s">
        <v>10</v>
      </c>
      <c r="G12" s="156"/>
      <c r="H12" s="154"/>
      <c r="I12" s="157">
        <v>96.4</v>
      </c>
      <c r="K12" t="s">
        <v>100</v>
      </c>
      <c r="L12" s="4"/>
      <c r="M12" s="8">
        <v>35.9</v>
      </c>
      <c r="N12" s="8">
        <v>80.400000000000006</v>
      </c>
    </row>
    <row r="13" spans="1:14" x14ac:dyDescent="0.25">
      <c r="A13" t="s">
        <v>10</v>
      </c>
      <c r="B13" s="4">
        <v>3</v>
      </c>
      <c r="C13" s="8">
        <v>56</v>
      </c>
      <c r="D13" s="8">
        <v>85</v>
      </c>
      <c r="F13" s="154" t="s">
        <v>11</v>
      </c>
      <c r="G13" s="156"/>
      <c r="H13" s="154"/>
      <c r="I13" s="157">
        <v>75.790000000000006</v>
      </c>
      <c r="K13" t="s">
        <v>101</v>
      </c>
      <c r="L13" s="4"/>
      <c r="M13" s="8">
        <v>17.3</v>
      </c>
      <c r="N13" s="8">
        <v>61.1</v>
      </c>
    </row>
    <row r="14" spans="1:14" x14ac:dyDescent="0.25">
      <c r="A14" t="s">
        <v>11</v>
      </c>
      <c r="B14" s="4"/>
      <c r="C14" s="8">
        <v>30.2</v>
      </c>
      <c r="D14" s="8">
        <v>38.299999999999997</v>
      </c>
      <c r="F14" s="154" t="s">
        <v>12</v>
      </c>
      <c r="G14" s="156">
        <v>1</v>
      </c>
      <c r="H14" s="154"/>
      <c r="I14" s="157">
        <v>87.26</v>
      </c>
      <c r="K14" t="s">
        <v>10</v>
      </c>
      <c r="L14" s="4"/>
      <c r="M14" s="8">
        <v>43</v>
      </c>
      <c r="N14" s="8">
        <v>88</v>
      </c>
    </row>
    <row r="15" spans="1:14" x14ac:dyDescent="0.25">
      <c r="A15" t="s">
        <v>12</v>
      </c>
      <c r="B15" s="4">
        <v>1</v>
      </c>
      <c r="C15" s="8">
        <v>62.4</v>
      </c>
      <c r="D15" s="8">
        <v>87.8</v>
      </c>
      <c r="F15" s="154" t="s">
        <v>13</v>
      </c>
      <c r="G15" s="156">
        <v>4</v>
      </c>
      <c r="H15" s="154"/>
      <c r="I15" s="157">
        <v>67.56</v>
      </c>
      <c r="K15" t="s">
        <v>11</v>
      </c>
      <c r="L15" s="4">
        <v>1</v>
      </c>
      <c r="M15" s="8">
        <v>26.5</v>
      </c>
      <c r="N15" s="8">
        <v>66</v>
      </c>
    </row>
    <row r="16" spans="1:14" x14ac:dyDescent="0.25">
      <c r="A16" t="s">
        <v>184</v>
      </c>
      <c r="B16" s="4"/>
      <c r="C16" s="8">
        <v>56.2</v>
      </c>
      <c r="D16" s="8">
        <v>87.7</v>
      </c>
      <c r="F16" s="154" t="s">
        <v>14</v>
      </c>
      <c r="G16" s="156"/>
      <c r="H16" s="154"/>
      <c r="I16" s="157">
        <v>90.78</v>
      </c>
      <c r="K16" t="s">
        <v>29</v>
      </c>
      <c r="L16" s="4"/>
      <c r="M16" s="8">
        <v>17.2</v>
      </c>
      <c r="N16" s="8">
        <v>42.5</v>
      </c>
    </row>
    <row r="17" spans="1:14" x14ac:dyDescent="0.25">
      <c r="A17" t="s">
        <v>185</v>
      </c>
      <c r="B17" s="4"/>
      <c r="C17" s="8">
        <v>46.3</v>
      </c>
      <c r="D17" s="8">
        <v>82.5</v>
      </c>
      <c r="F17" s="154" t="s">
        <v>20</v>
      </c>
      <c r="G17" s="156"/>
      <c r="H17" s="154"/>
      <c r="I17" s="157">
        <v>73.61</v>
      </c>
      <c r="K17" t="s">
        <v>218</v>
      </c>
      <c r="L17" s="4"/>
      <c r="M17" s="8">
        <v>6.7</v>
      </c>
      <c r="N17" s="8">
        <v>18.600000000000001</v>
      </c>
    </row>
    <row r="18" spans="1:14" x14ac:dyDescent="0.25">
      <c r="A18" t="s">
        <v>14</v>
      </c>
      <c r="B18" s="4">
        <v>3</v>
      </c>
      <c r="C18" s="8">
        <v>57.9</v>
      </c>
      <c r="D18" s="8">
        <v>89.4</v>
      </c>
      <c r="F18" s="154" t="s">
        <v>21</v>
      </c>
      <c r="G18" s="156"/>
      <c r="H18" s="154"/>
      <c r="I18" s="157">
        <v>23.27</v>
      </c>
      <c r="K18" t="s">
        <v>13</v>
      </c>
      <c r="L18" s="4"/>
      <c r="M18" s="8">
        <v>36.299999999999997</v>
      </c>
      <c r="N18" s="8">
        <v>67.400000000000006</v>
      </c>
    </row>
    <row r="19" spans="1:14" ht="15.75" thickBot="1" x14ac:dyDescent="0.3">
      <c r="A19" t="s">
        <v>20</v>
      </c>
      <c r="B19" s="4"/>
      <c r="C19" s="8">
        <v>54.3</v>
      </c>
      <c r="D19" s="8">
        <v>72.8</v>
      </c>
      <c r="F19" s="154" t="s">
        <v>19</v>
      </c>
      <c r="G19" s="156">
        <v>1</v>
      </c>
      <c r="H19" s="154"/>
      <c r="I19" s="157">
        <v>69.27</v>
      </c>
      <c r="K19" s="1" t="s">
        <v>231</v>
      </c>
      <c r="L19" s="12"/>
      <c r="M19" s="2">
        <f>SUM(M3:M18)/16</f>
        <v>29.424999999999997</v>
      </c>
      <c r="N19" s="2">
        <f>SUM(N3:N18)/16</f>
        <v>61.394375000000004</v>
      </c>
    </row>
    <row r="20" spans="1:14" ht="16.5" thickTop="1" thickBot="1" x14ac:dyDescent="0.3">
      <c r="A20" t="s">
        <v>21</v>
      </c>
      <c r="B20" s="4"/>
      <c r="C20" s="8">
        <v>23.8</v>
      </c>
      <c r="D20" s="8">
        <v>42.2</v>
      </c>
      <c r="F20" s="158" t="s">
        <v>22</v>
      </c>
      <c r="G20" s="159"/>
      <c r="H20" s="160">
        <f>SUM(H3:H19)/19</f>
        <v>0</v>
      </c>
      <c r="I20" s="160">
        <f>SUM(I3:I19)/17</f>
        <v>77.262941176470576</v>
      </c>
      <c r="K20" s="146"/>
      <c r="L20" s="147"/>
      <c r="M20" s="146"/>
      <c r="N20" s="146"/>
    </row>
    <row r="21" spans="1:14" ht="16.5" thickTop="1" thickBot="1" x14ac:dyDescent="0.3">
      <c r="A21" s="1" t="s">
        <v>231</v>
      </c>
      <c r="B21" s="12"/>
      <c r="C21" s="2">
        <f>SUM(C3:C20)/18</f>
        <v>51.861111111111107</v>
      </c>
      <c r="D21" s="2">
        <f>SUM(D3:D20)/18</f>
        <v>75.061111111111117</v>
      </c>
      <c r="F21" s="154"/>
      <c r="G21" s="154"/>
      <c r="H21" s="154"/>
      <c r="I21" s="154"/>
      <c r="K21" s="200" t="s">
        <v>219</v>
      </c>
      <c r="L21" s="200"/>
      <c r="M21" s="200"/>
      <c r="N21" s="200"/>
    </row>
    <row r="22" spans="1:14" ht="15.75" thickTop="1" x14ac:dyDescent="0.25">
      <c r="K22" s="200"/>
      <c r="L22" s="200"/>
      <c r="M22" s="200"/>
      <c r="N22" s="200"/>
    </row>
    <row r="23" spans="1:14" x14ac:dyDescent="0.25">
      <c r="A23" s="165" t="s">
        <v>232</v>
      </c>
    </row>
    <row r="25" spans="1:14" x14ac:dyDescent="0.25">
      <c r="A25" s="165" t="s">
        <v>176</v>
      </c>
    </row>
    <row r="26" spans="1:14" x14ac:dyDescent="0.25">
      <c r="A26" s="166" t="s">
        <v>221</v>
      </c>
    </row>
  </sheetData>
  <sheetProtection algorithmName="SHA-512" hashValue="cFylNtblqQPbnS3SOZExbY2Ios9PpVnAmz+plAJhj03f38AXvrliUk6D4JqjlRb685tgEwg+TEW36kL566MmeA==" saltValue="3WBMXsKFLBIWTIySY0mtAQ==" spinCount="100000" sheet="1" objects="1" scenarios="1"/>
  <mergeCells count="1">
    <mergeCell ref="K21:N22"/>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E1" workbookViewId="0">
      <selection activeCell="K24" sqref="K24"/>
    </sheetView>
  </sheetViews>
  <sheetFormatPr defaultRowHeight="15" x14ac:dyDescent="0.25"/>
  <cols>
    <col min="1" max="1" width="23.85546875" hidden="1" customWidth="1"/>
    <col min="2" max="2" width="11" hidden="1" customWidth="1"/>
    <col min="3" max="3" width="10.5703125" hidden="1" customWidth="1"/>
    <col min="4" max="4" width="0" hidden="1" customWidth="1"/>
    <col min="5" max="5" width="2.85546875" customWidth="1"/>
    <col min="6" max="6" width="24.85546875" customWidth="1"/>
    <col min="7" max="7" width="11" customWidth="1"/>
    <col min="8" max="8" width="11.140625" customWidth="1"/>
    <col min="11" max="11" width="24.5703125" customWidth="1"/>
    <col min="13" max="13" width="10.28515625" bestFit="1" customWidth="1"/>
    <col min="14" max="14" width="9.28515625" bestFit="1" customWidth="1"/>
    <col min="15" max="15" width="3.28515625" customWidth="1"/>
  </cols>
  <sheetData>
    <row r="1" spans="1:14" x14ac:dyDescent="0.25">
      <c r="A1" s="149" t="s">
        <v>197</v>
      </c>
      <c r="B1" s="11"/>
      <c r="E1" s="149" t="s">
        <v>197</v>
      </c>
      <c r="G1" s="11"/>
    </row>
    <row r="2" spans="1:14" x14ac:dyDescent="0.25">
      <c r="A2" s="155" t="s">
        <v>178</v>
      </c>
      <c r="B2" s="156" t="s">
        <v>78</v>
      </c>
      <c r="C2" s="155" t="s">
        <v>174</v>
      </c>
      <c r="D2" s="155" t="s">
        <v>175</v>
      </c>
      <c r="F2" s="3" t="s">
        <v>172</v>
      </c>
      <c r="G2" s="9" t="s">
        <v>78</v>
      </c>
      <c r="H2" s="3" t="s">
        <v>174</v>
      </c>
      <c r="I2" s="3" t="s">
        <v>175</v>
      </c>
      <c r="K2" s="3" t="s">
        <v>168</v>
      </c>
      <c r="L2" s="9" t="s">
        <v>78</v>
      </c>
      <c r="M2" s="3" t="s">
        <v>174</v>
      </c>
      <c r="N2" s="3" t="s">
        <v>175</v>
      </c>
    </row>
    <row r="3" spans="1:14" x14ac:dyDescent="0.25">
      <c r="A3" s="154" t="s">
        <v>1</v>
      </c>
      <c r="B3" s="156">
        <v>3</v>
      </c>
      <c r="C3" s="154"/>
      <c r="D3" s="157">
        <v>76.099999999999994</v>
      </c>
      <c r="F3" t="s">
        <v>1</v>
      </c>
      <c r="G3" s="4"/>
      <c r="H3" s="8">
        <v>57.3</v>
      </c>
      <c r="I3" s="8">
        <v>84.7</v>
      </c>
      <c r="K3" t="s">
        <v>199</v>
      </c>
      <c r="L3" s="4"/>
      <c r="M3" s="8">
        <v>60.3</v>
      </c>
      <c r="N3" s="8">
        <v>77</v>
      </c>
    </row>
    <row r="4" spans="1:14" x14ac:dyDescent="0.25">
      <c r="A4" s="154" t="s">
        <v>2</v>
      </c>
      <c r="B4" s="156">
        <v>1</v>
      </c>
      <c r="C4" s="154"/>
      <c r="D4" s="157">
        <v>84.44</v>
      </c>
      <c r="F4" t="s">
        <v>2</v>
      </c>
      <c r="G4" s="4">
        <v>4</v>
      </c>
      <c r="H4" s="8">
        <v>45.1</v>
      </c>
      <c r="I4" s="8">
        <v>92.1</v>
      </c>
      <c r="K4" t="s">
        <v>196</v>
      </c>
      <c r="L4" s="4"/>
      <c r="M4" s="8">
        <v>33.1</v>
      </c>
      <c r="N4" s="8">
        <v>44.9</v>
      </c>
    </row>
    <row r="5" spans="1:14" x14ac:dyDescent="0.25">
      <c r="A5" s="154" t="s">
        <v>192</v>
      </c>
      <c r="B5" s="156"/>
      <c r="C5" s="154"/>
      <c r="D5" s="157">
        <v>89.12</v>
      </c>
      <c r="F5" t="s">
        <v>2</v>
      </c>
      <c r="G5" s="4">
        <v>2</v>
      </c>
      <c r="H5" s="8">
        <v>43.9</v>
      </c>
      <c r="I5" s="8">
        <v>70.8</v>
      </c>
      <c r="K5" t="s">
        <v>2</v>
      </c>
      <c r="L5" s="4"/>
      <c r="M5" s="8">
        <v>32.299999999999997</v>
      </c>
      <c r="N5" s="8">
        <v>74.2</v>
      </c>
    </row>
    <row r="6" spans="1:14" x14ac:dyDescent="0.25">
      <c r="A6" s="154" t="s">
        <v>193</v>
      </c>
      <c r="B6" s="156"/>
      <c r="C6" s="154"/>
      <c r="D6" s="157">
        <v>45.96</v>
      </c>
      <c r="F6" t="s">
        <v>4</v>
      </c>
      <c r="G6" s="4"/>
      <c r="H6" s="8">
        <v>64.400000000000006</v>
      </c>
      <c r="I6" s="8">
        <v>92.2</v>
      </c>
      <c r="K6" t="s">
        <v>3</v>
      </c>
      <c r="L6" s="4">
        <v>3</v>
      </c>
      <c r="M6" s="8">
        <v>30.1</v>
      </c>
      <c r="N6" s="8">
        <v>57.9</v>
      </c>
    </row>
    <row r="7" spans="1:14" x14ac:dyDescent="0.25">
      <c r="A7" s="154" t="s">
        <v>4</v>
      </c>
      <c r="B7" s="156"/>
      <c r="C7" s="154"/>
      <c r="D7" s="157">
        <v>95.03</v>
      </c>
      <c r="F7" t="s">
        <v>5</v>
      </c>
      <c r="G7" s="4"/>
      <c r="H7" s="8">
        <v>63.7</v>
      </c>
      <c r="I7" s="8">
        <v>92</v>
      </c>
      <c r="K7" t="s">
        <v>4</v>
      </c>
      <c r="L7" s="4">
        <v>4</v>
      </c>
      <c r="M7" s="8">
        <v>40.200000000000003</v>
      </c>
      <c r="N7" s="8">
        <v>65.8</v>
      </c>
    </row>
    <row r="8" spans="1:14" x14ac:dyDescent="0.25">
      <c r="A8" s="154" t="s">
        <v>5</v>
      </c>
      <c r="B8" s="156">
        <v>4</v>
      </c>
      <c r="C8" s="154"/>
      <c r="D8" s="157">
        <v>85.89</v>
      </c>
      <c r="F8" t="s">
        <v>6</v>
      </c>
      <c r="G8" s="4">
        <v>3</v>
      </c>
      <c r="H8" s="8">
        <v>56.8</v>
      </c>
      <c r="I8" s="8">
        <v>94.9</v>
      </c>
      <c r="K8" t="s">
        <v>5</v>
      </c>
      <c r="L8" s="4"/>
      <c r="M8" s="8">
        <v>20.399999999999999</v>
      </c>
      <c r="N8" s="8">
        <v>44.2</v>
      </c>
    </row>
    <row r="9" spans="1:14" x14ac:dyDescent="0.25">
      <c r="A9" s="154" t="s">
        <v>6</v>
      </c>
      <c r="B9" s="156"/>
      <c r="C9" s="154"/>
      <c r="D9" s="157">
        <v>91.83</v>
      </c>
      <c r="F9" t="s">
        <v>7</v>
      </c>
      <c r="G9" s="4"/>
      <c r="H9" s="8">
        <v>80.900000000000006</v>
      </c>
      <c r="I9" s="8">
        <v>95.6</v>
      </c>
      <c r="K9" t="s">
        <v>6</v>
      </c>
      <c r="L9" s="4">
        <v>2</v>
      </c>
      <c r="M9" s="8">
        <v>32.9</v>
      </c>
      <c r="N9" s="8">
        <v>65.599999999999994</v>
      </c>
    </row>
    <row r="10" spans="1:14" x14ac:dyDescent="0.25">
      <c r="A10" s="154" t="s">
        <v>7</v>
      </c>
      <c r="B10" s="156"/>
      <c r="C10" s="154"/>
      <c r="D10" s="157">
        <v>58.68</v>
      </c>
      <c r="F10" t="s">
        <v>8</v>
      </c>
      <c r="G10" s="4">
        <v>2</v>
      </c>
      <c r="H10" s="8">
        <v>46.8</v>
      </c>
      <c r="I10" s="8">
        <v>77.7</v>
      </c>
      <c r="K10" t="s">
        <v>17</v>
      </c>
      <c r="L10" s="4"/>
      <c r="M10" s="8">
        <v>34.700000000000003</v>
      </c>
      <c r="N10" s="8">
        <v>56.5</v>
      </c>
    </row>
    <row r="11" spans="1:14" x14ac:dyDescent="0.25">
      <c r="A11" s="154" t="s">
        <v>8</v>
      </c>
      <c r="B11" s="156">
        <v>2</v>
      </c>
      <c r="C11" s="154"/>
      <c r="D11" s="157">
        <v>89.58</v>
      </c>
      <c r="F11" t="s">
        <v>100</v>
      </c>
      <c r="G11" s="4"/>
      <c r="H11" s="8">
        <v>72.099999999999994</v>
      </c>
      <c r="I11" s="8">
        <v>89.7</v>
      </c>
      <c r="K11" t="s">
        <v>18</v>
      </c>
      <c r="L11" s="4"/>
      <c r="M11" s="8">
        <v>13.8</v>
      </c>
      <c r="N11" s="8">
        <v>27</v>
      </c>
    </row>
    <row r="12" spans="1:14" x14ac:dyDescent="0.25">
      <c r="A12" s="154" t="s">
        <v>9</v>
      </c>
      <c r="B12" s="156">
        <v>3</v>
      </c>
      <c r="C12" s="154"/>
      <c r="D12" s="157">
        <v>89.61</v>
      </c>
      <c r="F12" t="s">
        <v>101</v>
      </c>
      <c r="G12" s="4"/>
      <c r="H12" s="8">
        <v>33.299999999999997</v>
      </c>
      <c r="I12" s="8">
        <v>39.4</v>
      </c>
      <c r="K12" t="s">
        <v>8</v>
      </c>
      <c r="L12" s="4">
        <v>4</v>
      </c>
      <c r="M12" s="8">
        <v>27</v>
      </c>
      <c r="N12" s="8">
        <v>49.9</v>
      </c>
    </row>
    <row r="13" spans="1:14" x14ac:dyDescent="0.25">
      <c r="A13" s="154" t="s">
        <v>10</v>
      </c>
      <c r="B13" s="156">
        <v>2</v>
      </c>
      <c r="C13" s="154"/>
      <c r="D13" s="157">
        <v>90.26</v>
      </c>
      <c r="F13" t="s">
        <v>10</v>
      </c>
      <c r="G13" s="4">
        <v>4</v>
      </c>
      <c r="H13" s="8">
        <v>67.3</v>
      </c>
      <c r="I13" s="8">
        <v>94.9</v>
      </c>
      <c r="K13" t="s">
        <v>9</v>
      </c>
      <c r="L13" s="4">
        <v>2</v>
      </c>
      <c r="M13" s="8">
        <v>31.4</v>
      </c>
      <c r="N13" s="8">
        <v>62.8</v>
      </c>
    </row>
    <row r="14" spans="1:14" x14ac:dyDescent="0.25">
      <c r="A14" s="154" t="s">
        <v>26</v>
      </c>
      <c r="B14" s="156"/>
      <c r="C14" s="154"/>
      <c r="D14" s="157">
        <v>84.33</v>
      </c>
      <c r="F14" t="s">
        <v>11</v>
      </c>
      <c r="G14" s="4"/>
      <c r="H14" s="8">
        <v>51.3</v>
      </c>
      <c r="I14" s="8">
        <v>86.6</v>
      </c>
      <c r="K14" t="s">
        <v>194</v>
      </c>
      <c r="L14" s="4"/>
      <c r="M14" s="8">
        <v>10.6</v>
      </c>
      <c r="N14" s="8">
        <v>39.5</v>
      </c>
    </row>
    <row r="15" spans="1:14" x14ac:dyDescent="0.25">
      <c r="A15" s="154" t="s">
        <v>27</v>
      </c>
      <c r="B15" s="156"/>
      <c r="C15" s="154"/>
      <c r="D15" s="157">
        <v>72.64</v>
      </c>
      <c r="F15" t="s">
        <v>29</v>
      </c>
      <c r="G15" s="4"/>
      <c r="H15" s="8">
        <v>67.5</v>
      </c>
      <c r="I15" s="8">
        <v>88.8</v>
      </c>
      <c r="K15" t="s">
        <v>195</v>
      </c>
      <c r="L15" s="4"/>
      <c r="M15" s="8">
        <v>4.5</v>
      </c>
      <c r="N15" s="8">
        <v>13.2</v>
      </c>
    </row>
    <row r="16" spans="1:14" x14ac:dyDescent="0.25">
      <c r="A16" s="154" t="s">
        <v>12</v>
      </c>
      <c r="B16" s="156"/>
      <c r="C16" s="154"/>
      <c r="D16" s="157">
        <v>59.95</v>
      </c>
      <c r="F16" t="s">
        <v>30</v>
      </c>
      <c r="G16" s="4"/>
      <c r="H16" s="8">
        <v>57.8</v>
      </c>
      <c r="I16" s="8">
        <v>74.2</v>
      </c>
      <c r="K16" t="s">
        <v>11</v>
      </c>
      <c r="L16" s="4">
        <v>2</v>
      </c>
      <c r="M16" s="8">
        <v>29</v>
      </c>
      <c r="N16" s="8">
        <v>53.2</v>
      </c>
    </row>
    <row r="17" spans="1:14" x14ac:dyDescent="0.25">
      <c r="A17" s="154" t="s">
        <v>13</v>
      </c>
      <c r="B17" s="156"/>
      <c r="C17" s="154"/>
      <c r="D17" s="157">
        <v>77.069999999999993</v>
      </c>
      <c r="F17" t="s">
        <v>13</v>
      </c>
      <c r="G17" s="4">
        <v>1</v>
      </c>
      <c r="H17" s="8">
        <v>54.4</v>
      </c>
      <c r="I17" s="8">
        <v>79</v>
      </c>
      <c r="K17" t="s">
        <v>29</v>
      </c>
      <c r="L17" s="4"/>
      <c r="M17" s="8">
        <v>33.4</v>
      </c>
      <c r="N17" s="8">
        <v>61.5</v>
      </c>
    </row>
    <row r="18" spans="1:14" x14ac:dyDescent="0.25">
      <c r="A18" s="154" t="s">
        <v>14</v>
      </c>
      <c r="B18" s="156"/>
      <c r="C18" s="154"/>
      <c r="D18" s="157">
        <v>64.77</v>
      </c>
      <c r="F18" t="s">
        <v>14</v>
      </c>
      <c r="G18" s="4"/>
      <c r="H18" s="8">
        <v>63.8</v>
      </c>
      <c r="I18" s="8">
        <v>92.6</v>
      </c>
      <c r="K18" t="s">
        <v>30</v>
      </c>
      <c r="L18" s="4"/>
      <c r="M18" s="8">
        <v>14.2</v>
      </c>
      <c r="N18" s="8">
        <v>37.4</v>
      </c>
    </row>
    <row r="19" spans="1:14" ht="15.75" thickBot="1" x14ac:dyDescent="0.3">
      <c r="A19" s="158" t="s">
        <v>22</v>
      </c>
      <c r="B19" s="159"/>
      <c r="C19" s="160">
        <f>SUM(C3:C18)/19</f>
        <v>0</v>
      </c>
      <c r="D19" s="160">
        <f>SUM(D3:D18)/16</f>
        <v>78.453749999999999</v>
      </c>
      <c r="F19" t="s">
        <v>182</v>
      </c>
      <c r="G19" s="4">
        <v>2</v>
      </c>
      <c r="H19" s="8">
        <v>46.8</v>
      </c>
      <c r="I19" s="8">
        <v>79.5</v>
      </c>
      <c r="K19" t="s">
        <v>183</v>
      </c>
      <c r="L19" s="4"/>
      <c r="M19" s="8">
        <v>4.8</v>
      </c>
      <c r="N19" s="8">
        <v>17.7</v>
      </c>
    </row>
    <row r="20" spans="1:14" ht="16.5" thickTop="1" thickBot="1" x14ac:dyDescent="0.3">
      <c r="F20" t="s">
        <v>19</v>
      </c>
      <c r="G20" s="4"/>
      <c r="H20" s="8">
        <v>44.9</v>
      </c>
      <c r="I20" s="8">
        <v>82.8</v>
      </c>
      <c r="K20" s="1" t="s">
        <v>231</v>
      </c>
      <c r="L20" s="12"/>
      <c r="M20" s="2">
        <f>SUM(M3:M19)/17</f>
        <v>26.629411764705882</v>
      </c>
      <c r="N20" s="2">
        <f>SUM(N3:N19)/17</f>
        <v>49.900000000000006</v>
      </c>
    </row>
    <row r="21" spans="1:14" ht="15.75" thickTop="1" x14ac:dyDescent="0.25">
      <c r="F21" t="s">
        <v>222</v>
      </c>
      <c r="G21" s="4"/>
      <c r="H21" s="8">
        <v>27.7</v>
      </c>
      <c r="I21" s="8">
        <v>36.6</v>
      </c>
      <c r="K21" s="146"/>
      <c r="L21" s="147"/>
      <c r="M21" s="146"/>
      <c r="N21" s="146"/>
    </row>
    <row r="22" spans="1:14" ht="15.75" thickBot="1" x14ac:dyDescent="0.3">
      <c r="F22" s="1" t="s">
        <v>231</v>
      </c>
      <c r="G22" s="12"/>
      <c r="H22" s="2">
        <f>SUM(H3:H21)/19</f>
        <v>55.042105263157879</v>
      </c>
      <c r="I22" s="2">
        <v>81.8</v>
      </c>
      <c r="K22" s="146"/>
      <c r="L22" s="148"/>
      <c r="M22" s="146"/>
      <c r="N22" s="146"/>
    </row>
    <row r="23" spans="1:14" ht="15.75" thickTop="1" x14ac:dyDescent="0.25">
      <c r="K23" s="144"/>
      <c r="L23" s="12"/>
      <c r="M23" s="145"/>
      <c r="N23" s="145"/>
    </row>
    <row r="24" spans="1:14" x14ac:dyDescent="0.25">
      <c r="F24" s="165" t="s">
        <v>232</v>
      </c>
      <c r="K24" s="144"/>
      <c r="L24" s="12"/>
      <c r="M24" s="145"/>
      <c r="N24" s="145"/>
    </row>
    <row r="25" spans="1:14" ht="7.5" customHeight="1" x14ac:dyDescent="0.25">
      <c r="K25" s="144"/>
      <c r="L25" s="12"/>
      <c r="M25" s="145"/>
      <c r="N25" s="145"/>
    </row>
    <row r="26" spans="1:14" x14ac:dyDescent="0.25">
      <c r="E26" s="167" t="s">
        <v>223</v>
      </c>
      <c r="F26" s="166" t="s">
        <v>224</v>
      </c>
      <c r="K26" s="144"/>
      <c r="L26" s="12"/>
      <c r="M26" s="145"/>
      <c r="N26" s="145"/>
    </row>
    <row r="27" spans="1:14" ht="6" customHeight="1" x14ac:dyDescent="0.25">
      <c r="K27" s="144"/>
      <c r="L27" s="12"/>
      <c r="M27" s="145"/>
      <c r="N27" s="145"/>
    </row>
    <row r="28" spans="1:14" x14ac:dyDescent="0.25">
      <c r="F28" s="165" t="s">
        <v>176</v>
      </c>
    </row>
    <row r="29" spans="1:14" x14ac:dyDescent="0.25">
      <c r="F29" s="166" t="s">
        <v>221</v>
      </c>
    </row>
  </sheetData>
  <sheetProtection algorithmName="SHA-512" hashValue="a9mSzTQfTw2lplEU26hBjNl2PAY4B//mvUiG4vSv5/m+Fv2AFF0paIP0Tj5FS6us8Ttv7/i/wSKQNRkC9z9+7A==" saltValue="2YTSGxDh29oj6wPWc0fwsw==" spinCount="100000" sheet="1" objects="1" scenarios="1"/>
  <pageMargins left="0.51181102362204722" right="0.5118110236220472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27"/>
  <sheetViews>
    <sheetView workbookViewId="0">
      <selection activeCell="B30" sqref="B30"/>
    </sheetView>
  </sheetViews>
  <sheetFormatPr defaultRowHeight="15" x14ac:dyDescent="0.25"/>
  <cols>
    <col min="1" max="1" width="18.85546875" customWidth="1"/>
    <col min="2" max="2" width="11" customWidth="1"/>
    <col min="3" max="3" width="10.5703125" customWidth="1"/>
    <col min="6" max="6" width="23.28515625" customWidth="1"/>
    <col min="7" max="7" width="11" customWidth="1"/>
    <col min="8" max="8" width="11.140625" customWidth="1"/>
  </cols>
  <sheetData>
    <row r="1" spans="1:9" x14ac:dyDescent="0.25">
      <c r="A1" s="11" t="s">
        <v>87</v>
      </c>
      <c r="B1" s="11"/>
      <c r="G1" s="11"/>
    </row>
    <row r="2" spans="1:9" x14ac:dyDescent="0.25">
      <c r="A2" s="3" t="s">
        <v>0</v>
      </c>
      <c r="B2" s="9" t="s">
        <v>78</v>
      </c>
      <c r="C2" s="3" t="s">
        <v>32</v>
      </c>
      <c r="D2" s="3" t="s">
        <v>31</v>
      </c>
      <c r="F2" s="3" t="s">
        <v>99</v>
      </c>
      <c r="G2" s="9" t="s">
        <v>78</v>
      </c>
      <c r="H2" s="3" t="s">
        <v>32</v>
      </c>
      <c r="I2" s="3" t="s">
        <v>31</v>
      </c>
    </row>
    <row r="3" spans="1:9" x14ac:dyDescent="0.25">
      <c r="A3" t="s">
        <v>1</v>
      </c>
      <c r="B3" s="4">
        <v>4</v>
      </c>
      <c r="C3">
        <v>70.599999999999994</v>
      </c>
      <c r="D3">
        <v>81.5</v>
      </c>
      <c r="F3" t="s">
        <v>1</v>
      </c>
      <c r="G3" s="4">
        <v>1</v>
      </c>
      <c r="H3" s="8">
        <v>89.2</v>
      </c>
      <c r="I3" s="8">
        <v>94.5</v>
      </c>
    </row>
    <row r="4" spans="1:9" x14ac:dyDescent="0.25">
      <c r="A4" t="s">
        <v>2</v>
      </c>
      <c r="B4" s="4"/>
      <c r="C4">
        <v>70.400000000000006</v>
      </c>
      <c r="D4">
        <v>84.4</v>
      </c>
      <c r="F4" t="s">
        <v>2</v>
      </c>
      <c r="G4" s="4">
        <v>3</v>
      </c>
      <c r="H4" s="8">
        <v>73.099999999999994</v>
      </c>
      <c r="I4" s="8">
        <v>86.4</v>
      </c>
    </row>
    <row r="5" spans="1:9" x14ac:dyDescent="0.25">
      <c r="A5" t="s">
        <v>3</v>
      </c>
      <c r="B5" s="4"/>
      <c r="C5">
        <v>67.400000000000006</v>
      </c>
      <c r="D5">
        <v>71.900000000000006</v>
      </c>
      <c r="F5" t="s">
        <v>3</v>
      </c>
      <c r="G5" s="4">
        <v>1</v>
      </c>
      <c r="H5" s="8">
        <v>63.6</v>
      </c>
      <c r="I5" s="8">
        <v>54.5</v>
      </c>
    </row>
    <row r="6" spans="1:9" x14ac:dyDescent="0.25">
      <c r="A6" t="s">
        <v>4</v>
      </c>
      <c r="B6" s="4">
        <v>2</v>
      </c>
      <c r="C6">
        <v>42.1</v>
      </c>
      <c r="D6">
        <v>43.5</v>
      </c>
      <c r="F6" t="s">
        <v>4</v>
      </c>
      <c r="G6" s="4">
        <v>3</v>
      </c>
      <c r="H6" s="8">
        <v>87.9</v>
      </c>
      <c r="I6" s="8">
        <v>95.8</v>
      </c>
    </row>
    <row r="7" spans="1:9" x14ac:dyDescent="0.25">
      <c r="A7" t="s">
        <v>15</v>
      </c>
      <c r="B7" s="4"/>
      <c r="C7">
        <v>49.8</v>
      </c>
      <c r="D7">
        <v>41.8</v>
      </c>
      <c r="F7" t="s">
        <v>15</v>
      </c>
      <c r="H7" s="13">
        <f>H8+15.8</f>
        <v>72</v>
      </c>
      <c r="I7" s="8">
        <f>I8+15.9</f>
        <v>87.600000000000009</v>
      </c>
    </row>
    <row r="8" spans="1:9" x14ac:dyDescent="0.25">
      <c r="A8" t="s">
        <v>16</v>
      </c>
      <c r="B8" s="4"/>
      <c r="C8">
        <v>29.3</v>
      </c>
      <c r="D8">
        <v>23.6</v>
      </c>
      <c r="F8" t="s">
        <v>16</v>
      </c>
      <c r="H8" s="13">
        <v>56.2</v>
      </c>
      <c r="I8" s="8">
        <v>71.7</v>
      </c>
    </row>
    <row r="9" spans="1:9" x14ac:dyDescent="0.25">
      <c r="A9" t="s">
        <v>6</v>
      </c>
      <c r="B9" s="4"/>
      <c r="C9">
        <v>70.900000000000006</v>
      </c>
      <c r="D9">
        <v>78</v>
      </c>
      <c r="F9" t="s">
        <v>6</v>
      </c>
      <c r="G9" s="4">
        <v>1</v>
      </c>
      <c r="H9" s="8">
        <v>69.5</v>
      </c>
      <c r="I9" s="8">
        <v>82.8</v>
      </c>
    </row>
    <row r="10" spans="1:9" x14ac:dyDescent="0.25">
      <c r="A10" t="s">
        <v>17</v>
      </c>
      <c r="B10" s="4"/>
      <c r="C10">
        <v>64.900000000000006</v>
      </c>
      <c r="D10">
        <v>73.400000000000006</v>
      </c>
      <c r="F10" t="s">
        <v>17</v>
      </c>
      <c r="G10" s="4"/>
      <c r="H10" s="8">
        <f>H11+29.2</f>
        <v>70.900000000000006</v>
      </c>
      <c r="I10" s="8">
        <f>I11+38.9</f>
        <v>81.900000000000006</v>
      </c>
    </row>
    <row r="11" spans="1:9" x14ac:dyDescent="0.25">
      <c r="A11" t="s">
        <v>18</v>
      </c>
      <c r="B11" s="4"/>
      <c r="C11">
        <v>46.3</v>
      </c>
      <c r="D11">
        <v>44.8</v>
      </c>
      <c r="F11" t="s">
        <v>18</v>
      </c>
      <c r="G11" s="4"/>
      <c r="H11" s="8">
        <v>41.7</v>
      </c>
      <c r="I11" s="8">
        <v>43</v>
      </c>
    </row>
    <row r="12" spans="1:9" x14ac:dyDescent="0.25">
      <c r="A12" t="s">
        <v>8</v>
      </c>
      <c r="B12" s="4">
        <v>3</v>
      </c>
      <c r="C12">
        <v>71</v>
      </c>
      <c r="D12">
        <v>87.7</v>
      </c>
      <c r="F12" t="s">
        <v>8</v>
      </c>
      <c r="G12" s="4">
        <v>4</v>
      </c>
      <c r="H12" s="8">
        <v>45.8</v>
      </c>
      <c r="I12" s="8">
        <v>38.5</v>
      </c>
    </row>
    <row r="13" spans="1:9" x14ac:dyDescent="0.25">
      <c r="A13" t="s">
        <v>9</v>
      </c>
      <c r="B13" s="4"/>
      <c r="C13">
        <v>65.7</v>
      </c>
      <c r="D13">
        <v>82.6</v>
      </c>
      <c r="F13" t="s">
        <v>100</v>
      </c>
      <c r="G13" s="4"/>
      <c r="H13" s="8">
        <f>H14+35.6</f>
        <v>52.400000000000006</v>
      </c>
      <c r="I13" s="8">
        <f>I14+39.8</f>
        <v>61.099999999999994</v>
      </c>
    </row>
    <row r="14" spans="1:9" x14ac:dyDescent="0.25">
      <c r="A14" t="s">
        <v>10</v>
      </c>
      <c r="B14" s="4">
        <v>3</v>
      </c>
      <c r="C14">
        <v>76.3</v>
      </c>
      <c r="D14">
        <v>88.4</v>
      </c>
      <c r="F14" t="s">
        <v>101</v>
      </c>
      <c r="G14" s="4"/>
      <c r="H14" s="8">
        <v>16.8</v>
      </c>
      <c r="I14" s="8">
        <v>21.3</v>
      </c>
    </row>
    <row r="15" spans="1:9" x14ac:dyDescent="0.25">
      <c r="A15" t="s">
        <v>11</v>
      </c>
      <c r="B15" s="4">
        <v>1</v>
      </c>
      <c r="C15">
        <v>64</v>
      </c>
      <c r="D15">
        <v>83.8</v>
      </c>
      <c r="F15" t="s">
        <v>10</v>
      </c>
      <c r="G15" s="4"/>
      <c r="H15" s="8">
        <v>56.4</v>
      </c>
      <c r="I15" s="8">
        <v>60.7</v>
      </c>
    </row>
    <row r="16" spans="1:9" x14ac:dyDescent="0.25">
      <c r="A16" t="s">
        <v>12</v>
      </c>
      <c r="B16" s="4">
        <v>1</v>
      </c>
      <c r="C16">
        <v>55.5</v>
      </c>
      <c r="D16">
        <v>66.400000000000006</v>
      </c>
      <c r="F16" t="s">
        <v>11</v>
      </c>
      <c r="G16" s="4">
        <v>1</v>
      </c>
      <c r="H16" s="8">
        <v>72.7</v>
      </c>
      <c r="I16" s="8">
        <v>64.5</v>
      </c>
    </row>
    <row r="17" spans="1:9" x14ac:dyDescent="0.25">
      <c r="A17" t="s">
        <v>13</v>
      </c>
      <c r="B17" s="4">
        <v>4</v>
      </c>
      <c r="C17">
        <v>78.599999999999994</v>
      </c>
      <c r="D17">
        <v>88.7</v>
      </c>
      <c r="F17" t="s">
        <v>29</v>
      </c>
      <c r="G17" s="4"/>
      <c r="H17" s="8">
        <f>H18+32.4</f>
        <v>61.8</v>
      </c>
      <c r="I17" s="8">
        <f>I18+45</f>
        <v>81.5</v>
      </c>
    </row>
    <row r="18" spans="1:9" x14ac:dyDescent="0.25">
      <c r="A18" t="s">
        <v>14</v>
      </c>
      <c r="B18" s="4"/>
      <c r="C18">
        <v>49.7</v>
      </c>
      <c r="D18">
        <v>60.5</v>
      </c>
      <c r="F18" t="s">
        <v>30</v>
      </c>
      <c r="G18" s="4"/>
      <c r="H18" s="8">
        <v>29.4</v>
      </c>
      <c r="I18" s="8">
        <v>36.5</v>
      </c>
    </row>
    <row r="19" spans="1:9" ht="15.75" thickBot="1" x14ac:dyDescent="0.3">
      <c r="A19" t="s">
        <v>20</v>
      </c>
      <c r="B19" s="4"/>
      <c r="C19">
        <v>53.6</v>
      </c>
      <c r="D19">
        <v>49.3</v>
      </c>
      <c r="F19" s="1" t="s">
        <v>231</v>
      </c>
      <c r="G19" s="4"/>
      <c r="H19" s="2">
        <f>SUM(H3:H18)/16</f>
        <v>59.962499999999991</v>
      </c>
      <c r="I19" s="2">
        <f>SUM(I3:I18)/16</f>
        <v>66.393749999999997</v>
      </c>
    </row>
    <row r="20" spans="1:9" ht="15.75" thickTop="1" x14ac:dyDescent="0.25">
      <c r="A20" t="s">
        <v>21</v>
      </c>
      <c r="B20" s="4"/>
      <c r="C20">
        <v>24.3</v>
      </c>
      <c r="D20">
        <v>22.1</v>
      </c>
      <c r="G20" s="4"/>
    </row>
    <row r="21" spans="1:9" x14ac:dyDescent="0.25">
      <c r="A21" t="s">
        <v>19</v>
      </c>
      <c r="B21" s="4"/>
      <c r="C21">
        <v>30.3</v>
      </c>
      <c r="D21">
        <v>46.2</v>
      </c>
      <c r="G21" s="4"/>
    </row>
    <row r="22" spans="1:9" ht="15.75" thickBot="1" x14ac:dyDescent="0.3">
      <c r="A22" s="1" t="s">
        <v>231</v>
      </c>
      <c r="B22" s="12"/>
      <c r="C22" s="2">
        <f>SUM(C3:C21)/19</f>
        <v>56.878947368421052</v>
      </c>
      <c r="D22" s="2">
        <f>SUM(D3:D21)/19</f>
        <v>64.136842105263156</v>
      </c>
      <c r="G22" s="12"/>
    </row>
    <row r="23" spans="1:9" ht="15.75" thickTop="1" x14ac:dyDescent="0.25"/>
    <row r="25" spans="1:9" x14ac:dyDescent="0.25">
      <c r="A25" s="165" t="s">
        <v>232</v>
      </c>
    </row>
    <row r="27" spans="1:9" x14ac:dyDescent="0.25">
      <c r="A27" s="165" t="s">
        <v>110</v>
      </c>
    </row>
  </sheetData>
  <sheetProtection algorithmName="SHA-512" hashValue="t+HpGGwZnJ10iC3a51HtO/4QUhGGasvDnUPLPQHNN+usSjWlbk90Ngor5mrKdFJkcSygP75MtlY+gxOdxSe1RA==" saltValue="GGu5LHitRNM3xaRE1x4TFw==" spinCount="100000" sheet="1" objects="1" scenarios="1"/>
  <pageMargins left="0.51181102362204722" right="0.5118110236220472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25"/>
  <sheetViews>
    <sheetView workbookViewId="0">
      <selection activeCell="A19" sqref="A19"/>
    </sheetView>
  </sheetViews>
  <sheetFormatPr defaultRowHeight="15" x14ac:dyDescent="0.25"/>
  <cols>
    <col min="1" max="1" width="19.7109375" customWidth="1"/>
    <col min="3" max="3" width="10.28515625" bestFit="1" customWidth="1"/>
    <col min="4" max="4" width="9.28515625" bestFit="1" customWidth="1"/>
    <col min="6" max="6" width="27" bestFit="1" customWidth="1"/>
    <col min="8" max="8" width="10.28515625" bestFit="1" customWidth="1"/>
  </cols>
  <sheetData>
    <row r="1" spans="1:9" x14ac:dyDescent="0.25">
      <c r="A1" s="11" t="s">
        <v>93</v>
      </c>
      <c r="B1" s="11"/>
      <c r="G1" s="11"/>
    </row>
    <row r="2" spans="1:9" x14ac:dyDescent="0.25">
      <c r="A2" s="3" t="s">
        <v>94</v>
      </c>
      <c r="B2" s="9" t="s">
        <v>78</v>
      </c>
      <c r="C2" s="3" t="s">
        <v>32</v>
      </c>
      <c r="D2" s="3" t="s">
        <v>31</v>
      </c>
      <c r="F2" s="3" t="s">
        <v>103</v>
      </c>
      <c r="G2" s="9" t="s">
        <v>78</v>
      </c>
      <c r="H2" s="3" t="s">
        <v>32</v>
      </c>
      <c r="I2" s="3" t="s">
        <v>31</v>
      </c>
    </row>
    <row r="3" spans="1:9" x14ac:dyDescent="0.25">
      <c r="A3" t="s">
        <v>40</v>
      </c>
      <c r="B3" s="4">
        <v>3</v>
      </c>
      <c r="C3" s="8">
        <v>76</v>
      </c>
      <c r="D3" s="8">
        <v>89.7</v>
      </c>
      <c r="F3" t="s">
        <v>40</v>
      </c>
      <c r="G3" s="4">
        <v>3</v>
      </c>
      <c r="H3" s="8">
        <v>75</v>
      </c>
      <c r="I3" s="8">
        <v>75.5</v>
      </c>
    </row>
    <row r="4" spans="1:9" x14ac:dyDescent="0.25">
      <c r="A4" t="s">
        <v>42</v>
      </c>
      <c r="B4" s="4"/>
      <c r="C4" s="8">
        <v>63</v>
      </c>
      <c r="D4" s="8">
        <v>66.3</v>
      </c>
      <c r="F4" t="s">
        <v>42</v>
      </c>
      <c r="G4" s="4"/>
      <c r="H4" s="8">
        <v>53.3</v>
      </c>
      <c r="I4" s="8">
        <v>60.9</v>
      </c>
    </row>
    <row r="5" spans="1:9" x14ac:dyDescent="0.25">
      <c r="A5" t="s">
        <v>95</v>
      </c>
      <c r="B5" s="4"/>
      <c r="C5" s="8">
        <f>C6+27.5</f>
        <v>37.799999999999997</v>
      </c>
      <c r="D5" s="8">
        <f>D6+40.3</f>
        <v>59.199999999999996</v>
      </c>
      <c r="F5" t="s">
        <v>43</v>
      </c>
      <c r="G5" s="4">
        <v>2</v>
      </c>
      <c r="H5" s="8">
        <v>70.599999999999994</v>
      </c>
      <c r="I5" s="8">
        <v>77.7</v>
      </c>
    </row>
    <row r="6" spans="1:9" x14ac:dyDescent="0.25">
      <c r="A6" t="s">
        <v>96</v>
      </c>
      <c r="B6" s="4"/>
      <c r="C6" s="8">
        <v>10.3</v>
      </c>
      <c r="D6" s="8">
        <v>18.899999999999999</v>
      </c>
      <c r="F6" t="s">
        <v>44</v>
      </c>
      <c r="G6" s="4"/>
      <c r="H6" s="8">
        <v>24.7</v>
      </c>
      <c r="I6" s="8">
        <v>21.3</v>
      </c>
    </row>
    <row r="7" spans="1:9" x14ac:dyDescent="0.25">
      <c r="A7" t="s">
        <v>44</v>
      </c>
      <c r="B7" s="4">
        <v>2</v>
      </c>
      <c r="C7" s="8">
        <v>55.4</v>
      </c>
      <c r="D7" s="8">
        <v>64.5</v>
      </c>
      <c r="F7" t="s">
        <v>45</v>
      </c>
      <c r="G7" s="4">
        <v>1</v>
      </c>
      <c r="H7" s="8">
        <v>53.7</v>
      </c>
      <c r="I7" s="8">
        <v>68.400000000000006</v>
      </c>
    </row>
    <row r="8" spans="1:9" x14ac:dyDescent="0.25">
      <c r="A8" t="s">
        <v>45</v>
      </c>
      <c r="B8" s="4">
        <v>1</v>
      </c>
      <c r="C8" s="8">
        <v>83.9</v>
      </c>
      <c r="D8" s="8">
        <v>93</v>
      </c>
      <c r="F8" t="s">
        <v>46</v>
      </c>
      <c r="G8" s="4">
        <v>2</v>
      </c>
      <c r="H8" s="8">
        <v>67.7</v>
      </c>
      <c r="I8" s="8">
        <v>77.900000000000006</v>
      </c>
    </row>
    <row r="9" spans="1:9" x14ac:dyDescent="0.25">
      <c r="A9" t="s">
        <v>46</v>
      </c>
      <c r="B9" s="4">
        <v>2</v>
      </c>
      <c r="C9" s="8">
        <v>73.599999999999994</v>
      </c>
      <c r="D9" s="8">
        <v>81.5</v>
      </c>
      <c r="F9" t="s">
        <v>49</v>
      </c>
      <c r="G9" s="4">
        <v>4</v>
      </c>
      <c r="H9" s="8">
        <v>57.1</v>
      </c>
      <c r="I9" s="8">
        <v>68.099999999999994</v>
      </c>
    </row>
    <row r="10" spans="1:9" x14ac:dyDescent="0.25">
      <c r="A10" t="s">
        <v>49</v>
      </c>
      <c r="B10" s="4">
        <v>3</v>
      </c>
      <c r="C10" s="8">
        <v>62.4</v>
      </c>
      <c r="D10" s="8">
        <v>82.1</v>
      </c>
      <c r="F10" t="s">
        <v>80</v>
      </c>
      <c r="G10" s="4"/>
      <c r="H10" s="8">
        <f>H11+26</f>
        <v>37.5</v>
      </c>
      <c r="I10" s="8">
        <f>I11+36.9</f>
        <v>51.4</v>
      </c>
    </row>
    <row r="11" spans="1:9" x14ac:dyDescent="0.25">
      <c r="A11" t="s">
        <v>52</v>
      </c>
      <c r="B11" s="4"/>
      <c r="C11" s="8">
        <v>58.1</v>
      </c>
      <c r="D11" s="8">
        <v>69.099999999999994</v>
      </c>
      <c r="F11" t="s">
        <v>81</v>
      </c>
      <c r="G11" s="4"/>
      <c r="H11" s="8">
        <v>11.5</v>
      </c>
      <c r="I11" s="8">
        <v>14.5</v>
      </c>
    </row>
    <row r="12" spans="1:9" x14ac:dyDescent="0.25">
      <c r="A12" t="s">
        <v>53</v>
      </c>
      <c r="B12" s="4">
        <v>1</v>
      </c>
      <c r="C12" s="8">
        <v>71.599999999999994</v>
      </c>
      <c r="D12" s="8">
        <v>87.5</v>
      </c>
      <c r="F12" t="s">
        <v>53</v>
      </c>
      <c r="G12" s="4">
        <v>3</v>
      </c>
      <c r="H12" s="8">
        <v>57.8</v>
      </c>
      <c r="I12" s="8">
        <v>57.9</v>
      </c>
    </row>
    <row r="13" spans="1:9" x14ac:dyDescent="0.25">
      <c r="A13" t="s">
        <v>54</v>
      </c>
      <c r="B13" s="4">
        <v>4</v>
      </c>
      <c r="C13" s="8">
        <v>60.4</v>
      </c>
      <c r="D13" s="8">
        <v>68.8</v>
      </c>
      <c r="F13" t="s">
        <v>54</v>
      </c>
      <c r="G13" s="4"/>
      <c r="H13" s="8">
        <v>34</v>
      </c>
      <c r="I13" s="8">
        <v>47</v>
      </c>
    </row>
    <row r="14" spans="1:9" x14ac:dyDescent="0.25">
      <c r="A14" t="s">
        <v>56</v>
      </c>
      <c r="B14" s="4"/>
      <c r="C14" s="8">
        <f>C15+18.8</f>
        <v>59.3</v>
      </c>
      <c r="D14" s="8">
        <f>D15+15.7</f>
        <v>85.8</v>
      </c>
      <c r="F14" t="s">
        <v>55</v>
      </c>
      <c r="G14" s="4">
        <v>1</v>
      </c>
      <c r="H14" s="8">
        <v>57.1</v>
      </c>
      <c r="I14" s="8">
        <v>66.3</v>
      </c>
    </row>
    <row r="15" spans="1:9" x14ac:dyDescent="0.25">
      <c r="A15" t="s">
        <v>57</v>
      </c>
      <c r="B15" s="4"/>
      <c r="C15" s="8">
        <v>40.5</v>
      </c>
      <c r="D15" s="8">
        <v>70.099999999999994</v>
      </c>
      <c r="F15" t="s">
        <v>97</v>
      </c>
      <c r="G15" s="4"/>
      <c r="H15" s="8">
        <f>H16+12.3</f>
        <v>22</v>
      </c>
      <c r="I15" s="8">
        <f>I16+11.9</f>
        <v>28.700000000000003</v>
      </c>
    </row>
    <row r="16" spans="1:9" x14ac:dyDescent="0.25">
      <c r="A16" t="s">
        <v>97</v>
      </c>
      <c r="B16" s="4"/>
      <c r="C16" s="8">
        <f>C17+27.4</f>
        <v>60.1</v>
      </c>
      <c r="D16" s="8">
        <f>D17+33.6</f>
        <v>77.599999999999994</v>
      </c>
      <c r="F16" t="s">
        <v>98</v>
      </c>
      <c r="G16" s="4"/>
      <c r="H16" s="8">
        <v>9.6999999999999993</v>
      </c>
      <c r="I16" s="8">
        <v>16.8</v>
      </c>
    </row>
    <row r="17" spans="1:9" x14ac:dyDescent="0.25">
      <c r="A17" t="s">
        <v>98</v>
      </c>
      <c r="B17" s="4"/>
      <c r="C17" s="8">
        <v>32.700000000000003</v>
      </c>
      <c r="D17" s="8">
        <v>44</v>
      </c>
      <c r="F17" t="s">
        <v>105</v>
      </c>
      <c r="G17" s="4"/>
      <c r="H17" s="8">
        <f>H18+12.7</f>
        <v>59.099999999999994</v>
      </c>
      <c r="I17" s="8">
        <f>I18+12.1</f>
        <v>75.3</v>
      </c>
    </row>
    <row r="18" spans="1:9" ht="15.75" thickBot="1" x14ac:dyDescent="0.3">
      <c r="A18" s="1" t="s">
        <v>231</v>
      </c>
      <c r="B18" s="4"/>
      <c r="C18" s="2">
        <f>SUM(C3:C17)/15</f>
        <v>56.34</v>
      </c>
      <c r="D18" s="2">
        <f>SUM(D3:D17)/15</f>
        <v>70.539999999999992</v>
      </c>
      <c r="F18" t="s">
        <v>106</v>
      </c>
      <c r="G18" s="4"/>
      <c r="H18" s="8">
        <f>H19+14.7</f>
        <v>46.4</v>
      </c>
      <c r="I18" s="8">
        <f>I19+19.5</f>
        <v>63.2</v>
      </c>
    </row>
    <row r="19" spans="1:9" ht="15.75" thickTop="1" x14ac:dyDescent="0.25">
      <c r="F19" t="s">
        <v>107</v>
      </c>
      <c r="G19" s="4"/>
      <c r="H19" s="8">
        <v>31.7</v>
      </c>
      <c r="I19" s="8">
        <v>43.7</v>
      </c>
    </row>
    <row r="20" spans="1:9" x14ac:dyDescent="0.25">
      <c r="F20" t="s">
        <v>68</v>
      </c>
      <c r="G20" s="4">
        <v>4</v>
      </c>
      <c r="H20" s="8">
        <v>51.8</v>
      </c>
      <c r="I20" s="8">
        <v>66.599999999999994</v>
      </c>
    </row>
    <row r="21" spans="1:9" ht="15.75" thickBot="1" x14ac:dyDescent="0.3">
      <c r="F21" s="1" t="s">
        <v>231</v>
      </c>
      <c r="G21" s="4"/>
      <c r="H21" s="2">
        <f>SUM(H3:H20)/18</f>
        <v>45.594444444444456</v>
      </c>
      <c r="I21" s="2">
        <f>SUM(I3:I20)/18</f>
        <v>54.511111111111113</v>
      </c>
    </row>
    <row r="22" spans="1:9" ht="15.75" thickTop="1" x14ac:dyDescent="0.25"/>
    <row r="23" spans="1:9" x14ac:dyDescent="0.25">
      <c r="A23" s="165" t="s">
        <v>232</v>
      </c>
    </row>
    <row r="25" spans="1:9" x14ac:dyDescent="0.25">
      <c r="A25" s="165" t="s">
        <v>110</v>
      </c>
    </row>
  </sheetData>
  <sheetProtection algorithmName="SHA-512" hashValue="jkhDrxAr+EGgB+Fnp/093uMHRjBPIKsrMQShzbo1NnNlwMQC5oSeeT1+e2kPejG/adg/v8czap+72TrjGv68+g==" saltValue="8kuHrkXBv4Ch2IuWAFqsZQ==" spinCount="100000" sheet="1" objects="1" scenarios="1"/>
  <pageMargins left="0.51181102362204722" right="0.5118110236220472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Navngivne områder</vt:lpstr>
      </vt:variant>
      <vt:variant>
        <vt:i4>4</vt:i4>
      </vt:variant>
    </vt:vector>
  </HeadingPairs>
  <TitlesOfParts>
    <vt:vector size="18" baseType="lpstr">
      <vt:lpstr>Introduktion</vt:lpstr>
      <vt:lpstr>Elevark</vt:lpstr>
      <vt:lpstr>Graf</vt:lpstr>
      <vt:lpstr>MS2016L</vt:lpstr>
      <vt:lpstr>MS2016I</vt:lpstr>
      <vt:lpstr>MS3_2016L</vt:lpstr>
      <vt:lpstr>MS3_2016I</vt:lpstr>
      <vt:lpstr>MS2011L</vt:lpstr>
      <vt:lpstr>MS2011I</vt:lpstr>
      <vt:lpstr>MS2006L</vt:lpstr>
      <vt:lpstr>MS2006I</vt:lpstr>
      <vt:lpstr>FT06</vt:lpstr>
      <vt:lpstr>Liste</vt:lpstr>
      <vt:lpstr>Ark1</vt:lpstr>
      <vt:lpstr>Elevark!Udskriftsområde</vt:lpstr>
      <vt:lpstr>Graf!Udskriftsområde</vt:lpstr>
      <vt:lpstr>Introduktion!Udskriftsområde</vt:lpstr>
      <vt:lpstr>Vælg_tekst_her</vt:lpstr>
    </vt:vector>
  </TitlesOfParts>
  <Company>DPU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Henriksen</dc:creator>
  <cp:lastModifiedBy>Jan Mejding</cp:lastModifiedBy>
  <cp:lastPrinted>2018-04-04T11:35:23Z</cp:lastPrinted>
  <dcterms:created xsi:type="dcterms:W3CDTF">2013-08-06T10:00:11Z</dcterms:created>
  <dcterms:modified xsi:type="dcterms:W3CDTF">2018-04-12T08:51:48Z</dcterms:modified>
</cp:coreProperties>
</file>